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matek-my.sharepoint.com/personal/ronald_roither_sigmatek_at/Documents/USB-Stick/"/>
    </mc:Choice>
  </mc:AlternateContent>
  <xr:revisionPtr revIDLastSave="7" documentId="8_{055051A0-6773-4F9B-8B62-A62803B59933}" xr6:coauthVersionLast="45" xr6:coauthVersionMax="45" xr10:uidLastSave="{39520280-5D3F-4A28-A80B-D6EA41C7BCE9}"/>
  <bookViews>
    <workbookView xWindow="-120" yWindow="-120" windowWidth="29040" windowHeight="15990" tabRatio="719" xr2:uid="{00000000-000D-0000-FFFF-FFFF00000000}"/>
  </bookViews>
  <sheets>
    <sheet name="Configuration" sheetId="1" r:id="rId1"/>
    <sheet name="BWH" sheetId="2" r:id="rId2"/>
    <sheet name="HGW" sheetId="3" r:id="rId3"/>
    <sheet name="CP112_01" sheetId="4" r:id="rId4"/>
    <sheet name="Ping und MachineManager" sheetId="11" r:id="rId5"/>
    <sheet name="MM Multimaster" sheetId="9" r:id="rId6"/>
    <sheet name="||" sheetId="5" r:id="rId7"/>
    <sheet name="default" sheetId="18" r:id="rId8"/>
    <sheet name="calc" sheetId="7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29" i="2" l="1"/>
  <c r="D16" i="4" l="1"/>
  <c r="D17" i="4"/>
  <c r="D18" i="4"/>
  <c r="D19" i="4"/>
  <c r="D20" i="4"/>
  <c r="D21" i="4"/>
  <c r="D22" i="4"/>
  <c r="D23" i="4"/>
  <c r="D15" i="4"/>
  <c r="F85" i="3"/>
  <c r="D91" i="3"/>
  <c r="D92" i="3"/>
  <c r="D93" i="3"/>
  <c r="D94" i="3"/>
  <c r="D95" i="3"/>
  <c r="D96" i="3"/>
  <c r="D97" i="3"/>
  <c r="D98" i="3"/>
  <c r="D90" i="3"/>
  <c r="D64" i="3"/>
  <c r="D65" i="3"/>
  <c r="D66" i="3"/>
  <c r="D67" i="3"/>
  <c r="D68" i="3"/>
  <c r="D69" i="3"/>
  <c r="D63" i="3"/>
  <c r="D42" i="3"/>
  <c r="D43" i="3"/>
  <c r="D44" i="3"/>
  <c r="D45" i="3"/>
  <c r="D46" i="3"/>
  <c r="D47" i="3"/>
  <c r="D41" i="3"/>
  <c r="D10" i="3"/>
  <c r="D11" i="3"/>
  <c r="D12" i="3"/>
  <c r="D13" i="3"/>
  <c r="D14" i="3"/>
  <c r="D15" i="3"/>
  <c r="D16" i="3"/>
  <c r="D17" i="3"/>
  <c r="D9" i="3"/>
  <c r="D83" i="2"/>
  <c r="D84" i="2"/>
  <c r="D85" i="2"/>
  <c r="D86" i="2"/>
  <c r="D87" i="2"/>
  <c r="D102" i="2"/>
  <c r="D103" i="2"/>
  <c r="D104" i="2"/>
  <c r="D105" i="2"/>
  <c r="D106" i="2"/>
  <c r="D101" i="2"/>
  <c r="D82" i="2"/>
  <c r="D59" i="2"/>
  <c r="D60" i="2"/>
  <c r="D61" i="2"/>
  <c r="D58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10" i="2"/>
  <c r="N55" i="18"/>
  <c r="L54" i="18"/>
  <c r="K54" i="18"/>
  <c r="U53" i="18"/>
  <c r="S53" i="18"/>
  <c r="O53" i="18"/>
  <c r="L53" i="18"/>
  <c r="K53" i="18"/>
  <c r="D51" i="18"/>
  <c r="B59" i="18" s="1"/>
  <c r="N50" i="18"/>
  <c r="L50" i="18"/>
  <c r="D50" i="18"/>
  <c r="L49" i="18"/>
  <c r="K49" i="18"/>
  <c r="D49" i="18"/>
  <c r="U48" i="18"/>
  <c r="S48" i="18"/>
  <c r="O48" i="18"/>
  <c r="L48" i="18"/>
  <c r="K48" i="18"/>
  <c r="D46" i="18"/>
  <c r="L39" i="18"/>
  <c r="K39" i="18"/>
  <c r="K38" i="18"/>
  <c r="P5" i="18" s="1"/>
  <c r="N35" i="18"/>
  <c r="L35" i="18"/>
  <c r="K35" i="18"/>
  <c r="U33" i="18"/>
  <c r="S33" i="18"/>
  <c r="O33" i="18"/>
  <c r="N30" i="18"/>
  <c r="L30" i="18"/>
  <c r="B61" i="18" s="1"/>
  <c r="K30" i="18"/>
  <c r="U28" i="18"/>
  <c r="S28" i="18"/>
  <c r="O28" i="18"/>
  <c r="D16" i="18"/>
  <c r="D45" i="18" s="1"/>
  <c r="C16" i="18"/>
  <c r="L14" i="18"/>
  <c r="H14" i="18"/>
  <c r="D14" i="18"/>
  <c r="L13" i="18"/>
  <c r="K13" i="18"/>
  <c r="H13" i="18"/>
  <c r="G13" i="18"/>
  <c r="L12" i="18"/>
  <c r="K12" i="18"/>
  <c r="H12" i="18"/>
  <c r="G12" i="18"/>
  <c r="C12" i="18"/>
  <c r="P7" i="18"/>
  <c r="P6" i="18"/>
  <c r="P4" i="18"/>
  <c r="I27" i="11"/>
  <c r="B117" i="2"/>
  <c r="B116" i="2"/>
  <c r="B115" i="2"/>
  <c r="B113" i="2"/>
  <c r="B94" i="2"/>
  <c r="B92" i="2"/>
  <c r="B97" i="3"/>
  <c r="B87" i="3"/>
  <c r="B71" i="3"/>
  <c r="B49" i="3"/>
  <c r="E135" i="7"/>
  <c r="G135" i="7" s="1"/>
  <c r="E134" i="7"/>
  <c r="G134" i="7" s="1"/>
  <c r="E133" i="7"/>
  <c r="G133" i="7" s="1"/>
  <c r="E132" i="7"/>
  <c r="F132" i="7" s="1"/>
  <c r="B56" i="2" s="1"/>
  <c r="D64" i="2" s="1"/>
  <c r="K126" i="7"/>
  <c r="N55" i="1" s="1"/>
  <c r="K125" i="7"/>
  <c r="N30" i="1" s="1"/>
  <c r="H135" i="7" l="1"/>
  <c r="B99" i="3" s="1"/>
  <c r="F134" i="7"/>
  <c r="B47" i="3" s="1"/>
  <c r="B70" i="3"/>
  <c r="B98" i="3"/>
  <c r="F135" i="7"/>
  <c r="B69" i="3" s="1"/>
  <c r="B48" i="3"/>
  <c r="B88" i="3"/>
  <c r="H134" i="7"/>
  <c r="B114" i="2"/>
  <c r="B67" i="2"/>
  <c r="F133" i="7"/>
  <c r="B66" i="2" s="1"/>
  <c r="H133" i="7"/>
  <c r="G132" i="7"/>
  <c r="H132" i="7"/>
  <c r="N35" i="1"/>
  <c r="N50" i="1"/>
  <c r="B118" i="2"/>
  <c r="B111" i="2"/>
  <c r="D109" i="2" s="1"/>
  <c r="B110" i="2"/>
  <c r="D108" i="2" s="1"/>
  <c r="B109" i="2"/>
  <c r="D107" i="2" s="1"/>
  <c r="B97" i="2"/>
  <c r="B96" i="2"/>
  <c r="B95" i="2"/>
  <c r="B90" i="2"/>
  <c r="D90" i="2" s="1"/>
  <c r="B89" i="2"/>
  <c r="D89" i="2" s="1"/>
  <c r="B88" i="2"/>
  <c r="D88" i="2" s="1"/>
  <c r="B74" i="3"/>
  <c r="B73" i="3"/>
  <c r="B72" i="3"/>
  <c r="B67" i="3"/>
  <c r="B65" i="3"/>
  <c r="B52" i="3"/>
  <c r="B51" i="3"/>
  <c r="B50" i="3"/>
  <c r="B45" i="3"/>
  <c r="B43" i="3"/>
  <c r="B74" i="2"/>
  <c r="B71" i="2"/>
  <c r="B69" i="2"/>
  <c r="B61" i="2"/>
  <c r="B59" i="2"/>
  <c r="B102" i="3"/>
  <c r="B92" i="3"/>
  <c r="B105" i="3"/>
  <c r="B101" i="3"/>
  <c r="B100" i="3"/>
  <c r="B96" i="3"/>
  <c r="B95" i="3"/>
  <c r="B91" i="3"/>
  <c r="B90" i="3"/>
  <c r="B86" i="3"/>
  <c r="B85" i="3"/>
  <c r="U53" i="1"/>
  <c r="S53" i="1"/>
  <c r="U33" i="1"/>
  <c r="B65" i="2" s="1"/>
  <c r="S33" i="1"/>
  <c r="B64" i="2" s="1"/>
  <c r="E165" i="7"/>
  <c r="E167" i="7"/>
  <c r="E168" i="7" s="1"/>
  <c r="E169" i="7"/>
  <c r="E170" i="7"/>
  <c r="E158" i="7"/>
  <c r="E160" i="7"/>
  <c r="E162" i="7"/>
  <c r="E156" i="7"/>
  <c r="E159" i="7" s="1"/>
  <c r="S48" i="1" s="1"/>
  <c r="E163" i="7"/>
  <c r="E166" i="7" s="1"/>
  <c r="E161" i="7"/>
  <c r="F158" i="7"/>
  <c r="F160" i="7"/>
  <c r="F162" i="7"/>
  <c r="F157" i="7"/>
  <c r="F161" i="7"/>
  <c r="F159" i="7"/>
  <c r="U28" i="1" s="1"/>
  <c r="B55" i="2" s="1"/>
  <c r="D63" i="2" s="1"/>
  <c r="F163" i="7"/>
  <c r="F165" i="7"/>
  <c r="F167" i="7"/>
  <c r="F169" i="7"/>
  <c r="F170" i="7"/>
  <c r="F164" i="7"/>
  <c r="F168" i="7"/>
  <c r="F166" i="7"/>
  <c r="F156" i="7"/>
  <c r="B68" i="3" l="1"/>
  <c r="B46" i="3"/>
  <c r="B89" i="3"/>
  <c r="B68" i="2"/>
  <c r="B112" i="2"/>
  <c r="D110" i="2" s="1"/>
  <c r="B91" i="2"/>
  <c r="D91" i="2" s="1"/>
  <c r="B58" i="2"/>
  <c r="D66" i="2" s="1"/>
  <c r="B93" i="2"/>
  <c r="B57" i="2"/>
  <c r="D65" i="2" s="1"/>
  <c r="S28" i="1"/>
  <c r="B54" i="2" s="1"/>
  <c r="D62" i="2" s="1"/>
  <c r="U48" i="1"/>
  <c r="E157" i="7"/>
  <c r="E164" i="7"/>
  <c r="B132" i="7" l="1"/>
  <c r="B127" i="7"/>
  <c r="B21" i="4" l="1"/>
  <c r="B20" i="4"/>
  <c r="F10" i="4" l="1"/>
  <c r="F59" i="3"/>
  <c r="F37" i="3"/>
  <c r="F4" i="3"/>
  <c r="F96" i="2"/>
  <c r="F77" i="2"/>
  <c r="F53" i="2"/>
  <c r="F5" i="2"/>
  <c r="D46" i="1" l="1"/>
  <c r="G114" i="7"/>
  <c r="B114" i="7"/>
  <c r="G110" i="7"/>
  <c r="B110" i="7"/>
  <c r="K110" i="7" l="1"/>
  <c r="D51" i="1"/>
  <c r="G111" i="7"/>
  <c r="H111" i="7" s="1"/>
  <c r="I111" i="7" s="1"/>
  <c r="J112" i="7" s="1"/>
  <c r="B115" i="7"/>
  <c r="B116" i="7" s="1"/>
  <c r="B111" i="7"/>
  <c r="G115" i="7"/>
  <c r="G116" i="7" s="1"/>
  <c r="F110" i="7"/>
  <c r="G67" i="7"/>
  <c r="O53" i="1" s="1"/>
  <c r="G66" i="7"/>
  <c r="B67" i="7"/>
  <c r="B66" i="7"/>
  <c r="G112" i="7" l="1"/>
  <c r="G118" i="7" s="1"/>
  <c r="H112" i="7"/>
  <c r="C115" i="7"/>
  <c r="C116" i="7" s="1"/>
  <c r="I112" i="7"/>
  <c r="H115" i="7"/>
  <c r="B112" i="7"/>
  <c r="B118" i="7" s="1"/>
  <c r="C111" i="7"/>
  <c r="N27" i="11"/>
  <c r="D115" i="7" l="1"/>
  <c r="E116" i="7" s="1"/>
  <c r="D111" i="7"/>
  <c r="E112" i="7" s="1"/>
  <c r="C112" i="7"/>
  <c r="C118" i="7" s="1"/>
  <c r="I115" i="7"/>
  <c r="J116" i="7" s="1"/>
  <c r="J118" i="7" s="1"/>
  <c r="H116" i="7"/>
  <c r="H118" i="7" s="1"/>
  <c r="B23" i="2"/>
  <c r="B22" i="2"/>
  <c r="E118" i="7" l="1"/>
  <c r="D116" i="7"/>
  <c r="I116" i="7"/>
  <c r="I118" i="7" s="1"/>
  <c r="G119" i="7" s="1"/>
  <c r="D112" i="7"/>
  <c r="B4" i="4"/>
  <c r="B4" i="3"/>
  <c r="B12" i="4"/>
  <c r="D118" i="7" l="1"/>
  <c r="B119" i="7" s="1"/>
  <c r="B5" i="11"/>
  <c r="O48" i="1"/>
  <c r="M18" i="9"/>
  <c r="I18" i="9"/>
  <c r="B54" i="7"/>
  <c r="B55" i="7" s="1"/>
  <c r="G54" i="7"/>
  <c r="G55" i="7" s="1"/>
  <c r="L54" i="1"/>
  <c r="G87" i="7" s="1"/>
  <c r="G58" i="7"/>
  <c r="G59" i="7" s="1"/>
  <c r="L49" i="1"/>
  <c r="B87" i="7" s="1"/>
  <c r="B58" i="7"/>
  <c r="B19" i="7"/>
  <c r="B33" i="7" s="1"/>
  <c r="B41" i="7"/>
  <c r="B42" i="7" s="1"/>
  <c r="C42" i="7" s="1"/>
  <c r="B15" i="7"/>
  <c r="B16" i="7" s="1"/>
  <c r="B3" i="7"/>
  <c r="B4" i="7" s="1"/>
  <c r="C4" i="7" s="1"/>
  <c r="B7" i="7"/>
  <c r="B8" i="7" s="1"/>
  <c r="O33" i="1"/>
  <c r="G53" i="7"/>
  <c r="G70" i="7" s="1"/>
  <c r="B53" i="7"/>
  <c r="B70" i="7" s="1"/>
  <c r="B31" i="2"/>
  <c r="B19" i="2"/>
  <c r="B4" i="2"/>
  <c r="L50" i="1"/>
  <c r="B20" i="3" s="1"/>
  <c r="O28" i="1"/>
  <c r="L14" i="1"/>
  <c r="H14" i="1"/>
  <c r="D14" i="1"/>
  <c r="B44" i="3" l="1"/>
  <c r="B60" i="2"/>
  <c r="B70" i="2"/>
  <c r="B66" i="3"/>
  <c r="B4" i="11"/>
  <c r="F5" i="11" s="1"/>
  <c r="B22" i="4"/>
  <c r="F114" i="7"/>
  <c r="B88" i="7"/>
  <c r="B89" i="7" s="1"/>
  <c r="B101" i="7"/>
  <c r="B102" i="7" s="1"/>
  <c r="B103" i="7" s="1"/>
  <c r="G88" i="7"/>
  <c r="G89" i="7" s="1"/>
  <c r="G101" i="7"/>
  <c r="H59" i="7"/>
  <c r="H60" i="7" s="1"/>
  <c r="G60" i="7"/>
  <c r="B34" i="7"/>
  <c r="C34" i="7" s="1"/>
  <c r="D34" i="7" s="1"/>
  <c r="B75" i="7"/>
  <c r="B20" i="7"/>
  <c r="B21" i="7" s="1"/>
  <c r="G75" i="7"/>
  <c r="B59" i="7"/>
  <c r="B60" i="7" s="1"/>
  <c r="B9" i="7"/>
  <c r="B17" i="7"/>
  <c r="G7" i="7"/>
  <c r="L7" i="7"/>
  <c r="C8" i="7"/>
  <c r="D8" i="7" s="1"/>
  <c r="E9" i="7" s="1"/>
  <c r="L39" i="1"/>
  <c r="D4" i="7"/>
  <c r="E5" i="7" s="1"/>
  <c r="B5" i="7"/>
  <c r="C5" i="7"/>
  <c r="C16" i="7"/>
  <c r="D16" i="7" s="1"/>
  <c r="E17" i="7" s="1"/>
  <c r="B43" i="7"/>
  <c r="C43" i="7"/>
  <c r="D42" i="7"/>
  <c r="E43" i="7" s="1"/>
  <c r="G56" i="7"/>
  <c r="H55" i="7"/>
  <c r="C55" i="7"/>
  <c r="B56" i="7"/>
  <c r="C88" i="7" l="1"/>
  <c r="C89" i="7" s="1"/>
  <c r="D50" i="1"/>
  <c r="C35" i="7"/>
  <c r="H13" i="1"/>
  <c r="G19" i="7" s="1"/>
  <c r="K19" i="7" s="1"/>
  <c r="G102" i="7"/>
  <c r="G103" i="7" s="1"/>
  <c r="B22" i="7"/>
  <c r="B29" i="7" s="1"/>
  <c r="C17" i="7"/>
  <c r="D9" i="7"/>
  <c r="H88" i="7"/>
  <c r="C59" i="7"/>
  <c r="D59" i="7" s="1"/>
  <c r="E60" i="7" s="1"/>
  <c r="I59" i="7"/>
  <c r="C20" i="7"/>
  <c r="D20" i="7" s="1"/>
  <c r="E21" i="7" s="1"/>
  <c r="E22" i="7" s="1"/>
  <c r="C102" i="7"/>
  <c r="D102" i="7" s="1"/>
  <c r="E103" i="7" s="1"/>
  <c r="D35" i="7"/>
  <c r="E35" i="7"/>
  <c r="G76" i="7"/>
  <c r="H76" i="7" s="1"/>
  <c r="I76" i="7" s="1"/>
  <c r="J77" i="7" s="1"/>
  <c r="B35" i="7"/>
  <c r="B76" i="7"/>
  <c r="C76" i="7" s="1"/>
  <c r="D76" i="7" s="1"/>
  <c r="C9" i="7"/>
  <c r="C11" i="7" s="1"/>
  <c r="B20" i="2"/>
  <c r="B45" i="7"/>
  <c r="L13" i="1"/>
  <c r="L19" i="7" s="1"/>
  <c r="E11" i="7"/>
  <c r="J5" i="7"/>
  <c r="O5" i="7" s="1"/>
  <c r="D5" i="7"/>
  <c r="D17" i="7"/>
  <c r="B11" i="7"/>
  <c r="G5" i="7"/>
  <c r="H5" i="7"/>
  <c r="M5" i="7" s="1"/>
  <c r="D43" i="7"/>
  <c r="G71" i="7"/>
  <c r="G62" i="7"/>
  <c r="H56" i="7"/>
  <c r="I55" i="7"/>
  <c r="J56" i="7" s="1"/>
  <c r="D55" i="7"/>
  <c r="E56" i="7" s="1"/>
  <c r="B62" i="7"/>
  <c r="B71" i="7"/>
  <c r="C56" i="7"/>
  <c r="G20" i="7" l="1"/>
  <c r="H20" i="7" s="1"/>
  <c r="I20" i="7" s="1"/>
  <c r="J21" i="7" s="1"/>
  <c r="D88" i="7"/>
  <c r="H102" i="7"/>
  <c r="H103" i="7" s="1"/>
  <c r="D60" i="7"/>
  <c r="B36" i="7"/>
  <c r="C103" i="7"/>
  <c r="D103" i="7"/>
  <c r="C60" i="7"/>
  <c r="C62" i="7" s="1"/>
  <c r="E62" i="7"/>
  <c r="G77" i="7"/>
  <c r="G78" i="7" s="1"/>
  <c r="H89" i="7"/>
  <c r="I88" i="7"/>
  <c r="J89" i="7" s="1"/>
  <c r="C77" i="7"/>
  <c r="I60" i="7"/>
  <c r="J60" i="7"/>
  <c r="J62" i="7" s="1"/>
  <c r="E71" i="7"/>
  <c r="B77" i="7"/>
  <c r="B78" i="7" s="1"/>
  <c r="C21" i="7"/>
  <c r="C22" i="7" s="1"/>
  <c r="C29" i="7" s="1"/>
  <c r="C36" i="7" s="1"/>
  <c r="H77" i="7"/>
  <c r="D77" i="7"/>
  <c r="E77" i="7"/>
  <c r="D21" i="7"/>
  <c r="D22" i="7" s="1"/>
  <c r="D29" i="7" s="1"/>
  <c r="D36" i="7" s="1"/>
  <c r="I77" i="7"/>
  <c r="D56" i="7"/>
  <c r="D71" i="7" s="1"/>
  <c r="L20" i="7"/>
  <c r="M20" i="7" s="1"/>
  <c r="P19" i="7"/>
  <c r="B46" i="7"/>
  <c r="B47" i="7" s="1"/>
  <c r="B48" i="7" s="1"/>
  <c r="G13" i="1"/>
  <c r="I5" i="7"/>
  <c r="N5" i="7" s="1"/>
  <c r="D11" i="7"/>
  <c r="B12" i="7" s="1"/>
  <c r="L5" i="7"/>
  <c r="J71" i="7"/>
  <c r="J78" i="7" s="1"/>
  <c r="I56" i="7"/>
  <c r="H71" i="7"/>
  <c r="H62" i="7"/>
  <c r="C71" i="7"/>
  <c r="G21" i="7" l="1"/>
  <c r="H21" i="7"/>
  <c r="D89" i="7"/>
  <c r="E89" i="7"/>
  <c r="I102" i="7"/>
  <c r="J103" i="7" s="1"/>
  <c r="H78" i="7"/>
  <c r="D62" i="7"/>
  <c r="B63" i="7" s="1"/>
  <c r="C78" i="7"/>
  <c r="E78" i="7"/>
  <c r="I89" i="7"/>
  <c r="L3" i="7"/>
  <c r="B23" i="7"/>
  <c r="G3" i="7"/>
  <c r="D78" i="7"/>
  <c r="B72" i="7"/>
  <c r="I21" i="7"/>
  <c r="L21" i="7"/>
  <c r="C46" i="7"/>
  <c r="C47" i="7" s="1"/>
  <c r="C48" i="7" s="1"/>
  <c r="N20" i="7"/>
  <c r="O21" i="7" s="1"/>
  <c r="M21" i="7"/>
  <c r="K13" i="1"/>
  <c r="D16" i="1"/>
  <c r="I71" i="7"/>
  <c r="I62" i="7"/>
  <c r="G63" i="7" s="1"/>
  <c r="I103" i="7" l="1"/>
  <c r="L12" i="1"/>
  <c r="L15" i="7" s="1"/>
  <c r="L16" i="7" s="1"/>
  <c r="M16" i="7" s="1"/>
  <c r="D45" i="1"/>
  <c r="B59" i="1"/>
  <c r="H12" i="1"/>
  <c r="G15" i="7" s="1"/>
  <c r="G16" i="7" s="1"/>
  <c r="G17" i="7" s="1"/>
  <c r="G22" i="7" s="1"/>
  <c r="B73" i="7"/>
  <c r="C73" i="7" s="1"/>
  <c r="D73" i="7" s="1"/>
  <c r="B79" i="7"/>
  <c r="D46" i="7"/>
  <c r="E47" i="7" s="1"/>
  <c r="E48" i="7" s="1"/>
  <c r="L48" i="1"/>
  <c r="R18" i="9" s="1"/>
  <c r="K58" i="7"/>
  <c r="L30" i="1"/>
  <c r="N21" i="7"/>
  <c r="F58" i="7"/>
  <c r="L35" i="1"/>
  <c r="I78" i="7"/>
  <c r="G79" i="7" s="1"/>
  <c r="G72" i="7"/>
  <c r="B19" i="3" l="1"/>
  <c r="F41" i="7"/>
  <c r="D27" i="11"/>
  <c r="B83" i="7"/>
  <c r="B84" i="7" s="1"/>
  <c r="B85" i="7" s="1"/>
  <c r="B61" i="1"/>
  <c r="K35" i="1"/>
  <c r="H16" i="7"/>
  <c r="H17" i="7" s="1"/>
  <c r="H22" i="7" s="1"/>
  <c r="D47" i="7"/>
  <c r="D48" i="7" s="1"/>
  <c r="B49" i="7" s="1"/>
  <c r="B7" i="11"/>
  <c r="K30" i="1"/>
  <c r="P7" i="1" s="1"/>
  <c r="N16" i="7"/>
  <c r="O17" i="7" s="1"/>
  <c r="O22" i="7" s="1"/>
  <c r="M17" i="7"/>
  <c r="M22" i="7" s="1"/>
  <c r="L17" i="7"/>
  <c r="L22" i="7" s="1"/>
  <c r="L53" i="1"/>
  <c r="G83" i="7" s="1"/>
  <c r="G73" i="7"/>
  <c r="H73" i="7" s="1"/>
  <c r="I73" i="7" s="1"/>
  <c r="K38" i="1" l="1"/>
  <c r="P5" i="1" s="1"/>
  <c r="F83" i="7"/>
  <c r="I16" i="7"/>
  <c r="J17" i="7" s="1"/>
  <c r="J22" i="7" s="1"/>
  <c r="N17" i="7"/>
  <c r="N22" i="7" s="1"/>
  <c r="L23" i="7" s="1"/>
  <c r="B6" i="11"/>
  <c r="B22" i="3"/>
  <c r="C84" i="7"/>
  <c r="C85" i="7" s="1"/>
  <c r="B97" i="7"/>
  <c r="B91" i="7"/>
  <c r="K48" i="1" l="1"/>
  <c r="I17" i="7"/>
  <c r="I22" i="7" s="1"/>
  <c r="G23" i="7" s="1"/>
  <c r="B24" i="7" s="1"/>
  <c r="E29" i="7"/>
  <c r="B30" i="7" s="1"/>
  <c r="B31" i="7" s="1"/>
  <c r="C31" i="7" s="1"/>
  <c r="D31" i="7" s="1"/>
  <c r="K83" i="7"/>
  <c r="G84" i="7"/>
  <c r="G85" i="7" s="1"/>
  <c r="B104" i="7"/>
  <c r="C91" i="7"/>
  <c r="C97" i="7"/>
  <c r="C104" i="7" s="1"/>
  <c r="D84" i="7"/>
  <c r="E85" i="7" s="1"/>
  <c r="C16" i="1" l="1"/>
  <c r="F30" i="7"/>
  <c r="K15" i="7"/>
  <c r="F15" i="7"/>
  <c r="P15" i="7"/>
  <c r="E36" i="7"/>
  <c r="B37" i="7" s="1"/>
  <c r="F45" i="7" s="1"/>
  <c r="H84" i="7"/>
  <c r="H85" i="7" s="1"/>
  <c r="D85" i="7"/>
  <c r="D91" i="7" s="1"/>
  <c r="G91" i="7"/>
  <c r="G97" i="7"/>
  <c r="K53" i="1"/>
  <c r="E91" i="7"/>
  <c r="E97" i="7"/>
  <c r="E104" i="7" s="1"/>
  <c r="C12" i="1" l="1"/>
  <c r="P4" i="1" s="1"/>
  <c r="I84" i="7"/>
  <c r="J85" i="7" s="1"/>
  <c r="J91" i="7" s="1"/>
  <c r="B92" i="7"/>
  <c r="D97" i="7"/>
  <c r="D104" i="7" s="1"/>
  <c r="B105" i="7" s="1"/>
  <c r="G12" i="1"/>
  <c r="K12" i="1"/>
  <c r="K39" i="1"/>
  <c r="P6" i="1" s="1"/>
  <c r="G104" i="7"/>
  <c r="H91" i="7"/>
  <c r="H97" i="7"/>
  <c r="H104" i="7" s="1"/>
  <c r="F92" i="7" l="1"/>
  <c r="F119" i="7"/>
  <c r="I85" i="7"/>
  <c r="I91" i="7" s="1"/>
  <c r="G92" i="7" s="1"/>
  <c r="K119" i="7" s="1"/>
  <c r="J97" i="7"/>
  <c r="J104" i="7" s="1"/>
  <c r="B98" i="7"/>
  <c r="I97" i="7" l="1"/>
  <c r="I104" i="7" s="1"/>
  <c r="G105" i="7" s="1"/>
  <c r="K49" i="1"/>
  <c r="B99" i="7"/>
  <c r="C99" i="7" s="1"/>
  <c r="D99" i="7" s="1"/>
  <c r="K92" i="7"/>
  <c r="F87" i="7"/>
  <c r="G98" i="7" l="1"/>
  <c r="K54" i="1"/>
  <c r="D49" i="1" l="1"/>
  <c r="G99" i="7"/>
  <c r="H99" i="7" s="1"/>
  <c r="I99" i="7" s="1"/>
</calcChain>
</file>

<file path=xl/sharedStrings.xml><?xml version="1.0" encoding="utf-8"?>
<sst xmlns="http://schemas.openxmlformats.org/spreadsheetml/2006/main" count="1029" uniqueCount="665">
  <si>
    <t>Machine Number</t>
  </si>
  <si>
    <t>10</t>
  </si>
  <si>
    <t>20</t>
  </si>
  <si>
    <t>30</t>
  </si>
  <si>
    <t>IP</t>
  </si>
  <si>
    <t>10.10.150.1</t>
  </si>
  <si>
    <t>Subnet</t>
  </si>
  <si>
    <t>255.0.0.0</t>
  </si>
  <si>
    <t>Gateway</t>
  </si>
  <si>
    <t>Net-IP</t>
  </si>
  <si>
    <t>123</t>
  </si>
  <si>
    <t>Accesspoint</t>
  </si>
  <si>
    <t>WIFI 5 Ghz (IP10)</t>
  </si>
  <si>
    <t>192.168.1.1</t>
  </si>
  <si>
    <t>SSID</t>
  </si>
  <si>
    <t>Channel</t>
  </si>
  <si>
    <t>Bandwidth</t>
  </si>
  <si>
    <t>255.255.255.0</t>
  </si>
  <si>
    <t>PW</t>
  </si>
  <si>
    <t>12345678</t>
  </si>
  <si>
    <t>Enable AP</t>
  </si>
  <si>
    <t>yes</t>
  </si>
  <si>
    <t>CountryCode</t>
  </si>
  <si>
    <t>AT</t>
  </si>
  <si>
    <t>WIFI 2,4 Ghz (IP11)</t>
  </si>
  <si>
    <t>192.168.2.1</t>
  </si>
  <si>
    <t>LAN (IP1)</t>
  </si>
  <si>
    <t>10.10.150.100</t>
  </si>
  <si>
    <t>Connect to</t>
  </si>
  <si>
    <t>no</t>
  </si>
  <si>
    <t xml:space="preserve">REM |    S i g m a t e k   G m b H  &amp; C o K G     |  </t>
  </si>
  <si>
    <t xml:space="preserve">REM +---------------------------------------------+  </t>
  </si>
  <si>
    <t xml:space="preserve">REM +---------------------------------------------+ </t>
  </si>
  <si>
    <t xml:space="preserve">SET EVENTLOG ON </t>
  </si>
  <si>
    <t xml:space="preserve">SET OSHEAP 120000  </t>
  </si>
  <si>
    <t xml:space="preserve">SET CAN 1 BAUD 1 STATION 0  </t>
  </si>
  <si>
    <t xml:space="preserve">REM WLAN access-point settings - can be removed in case of no WLAN </t>
  </si>
  <si>
    <t>WLANAP 10 11</t>
  </si>
  <si>
    <t xml:space="preserve">CALIB CHECK  </t>
  </si>
  <si>
    <t xml:space="preserve">SET RUNTIME 30 </t>
  </si>
  <si>
    <t xml:space="preserve">VER </t>
  </si>
  <si>
    <t xml:space="preserve">LSLLOAD </t>
  </si>
  <si>
    <t>C:\lslsys\rsdbd.conf</t>
  </si>
  <si>
    <t>C:\lslsys\wireless.conf</t>
  </si>
  <si>
    <t>ctrl_interface=/var/run/wpa_supplicant</t>
  </si>
  <si>
    <t>update_config=1</t>
  </si>
  <si>
    <t>C:\lslsys\wireless2.conf</t>
  </si>
  <si>
    <t>SET EVENTLOG ON</t>
  </si>
  <si>
    <t>SET CAN 1 BAUD 1 STATION 0</t>
  </si>
  <si>
    <t>CALIB CHECK</t>
  </si>
  <si>
    <t>SET RUNTIME 30</t>
  </si>
  <si>
    <t>VER</t>
  </si>
  <si>
    <t>LSLLOAD</t>
  </si>
  <si>
    <t># Configuration for WPA/WPA2 Networks IP 10</t>
  </si>
  <si>
    <t>SET OSHEAP 100000</t>
  </si>
  <si>
    <t>Vorschlag PLC</t>
  </si>
  <si>
    <t>Dotpos</t>
  </si>
  <si>
    <t>DecIP</t>
  </si>
  <si>
    <t>DecSubnet</t>
  </si>
  <si>
    <t>DecNetz</t>
  </si>
  <si>
    <t>Netz</t>
  </si>
  <si>
    <t>Istadressen PLC</t>
  </si>
  <si>
    <t>IP-Adresses</t>
  </si>
  <si>
    <t>MaschinenNetz</t>
  </si>
  <si>
    <t>Vorschlag IF1 eth</t>
  </si>
  <si>
    <t>Istadressen IF1 eth</t>
  </si>
  <si>
    <t>Istadressen BWH</t>
  </si>
  <si>
    <t>Vorschlag HGW</t>
  </si>
  <si>
    <t>Ist HGW</t>
  </si>
  <si>
    <t>Vorschlag Laptop</t>
  </si>
  <si>
    <t>Vorschlag SSID BWH</t>
  </si>
  <si>
    <t>Vorschlag SSID HGW</t>
  </si>
  <si>
    <t># Parameters for WLAN-AP interface 10 (5G)</t>
  </si>
  <si>
    <t># Parameters for WLAN-AP interface 11 (2.4G)</t>
  </si>
  <si>
    <t># Parameters for WLAN-AP interface 10 (5G) when HGW=AP</t>
  </si>
  <si>
    <t># General WLAN-AP parameters</t>
  </si>
  <si>
    <t>Prüfen per Remote-CLI</t>
  </si>
  <si>
    <t>SET OSHEAP 200000</t>
  </si>
  <si>
    <t>05380593</t>
  </si>
  <si>
    <t>05529561</t>
  </si>
  <si>
    <t xml:space="preserve">REM |             CP1xx Configuration             |  </t>
  </si>
  <si>
    <t xml:space="preserve">REM |              HGW Configuration              |  </t>
  </si>
  <si>
    <t xml:space="preserve">REM |              BWH Configuration              |  </t>
  </si>
  <si>
    <t xml:space="preserve">REM |               www.sigmatek.at               |  </t>
  </si>
  <si>
    <t xml:space="preserve">REM |            LASAL OS Installation            |  </t>
  </si>
  <si>
    <t>REM WLAN 5GHz:</t>
  </si>
  <si>
    <t>REM WLAN 2,4GHz:</t>
  </si>
  <si>
    <t>Show SSID</t>
  </si>
  <si>
    <t># | Configuration of the WLAN-Client IP11 (2.4GHz) |</t>
  </si>
  <si>
    <t># +------------------------------------------------+</t>
  </si>
  <si>
    <t># |  Configuration of the WLAN-Client IP10 (5GHz)  |</t>
  </si>
  <si>
    <t># |     Configuration of the Accesspoint (BWH)     |</t>
  </si>
  <si>
    <t># |     Configuration of the Accesspoint (HGW)     |</t>
  </si>
  <si>
    <t># NOTE: First Line is important !</t>
  </si>
  <si>
    <t>C:\autoexec.lsl</t>
  </si>
  <si>
    <t>Do not delete this page !!</t>
  </si>
  <si>
    <t>IP 1</t>
  </si>
  <si>
    <t>Subnet 1</t>
  </si>
  <si>
    <t>Wired</t>
  </si>
  <si>
    <t>REM route ADD &lt;Dest-IP&gt; MASK &lt;Netmask&gt; &lt;gateway&gt; [METRIC &lt;number&gt;] [IF &lt;interfacenumber&gt;]</t>
  </si>
  <si>
    <t>Wireless from Laptop</t>
  </si>
  <si>
    <t>Cable from Laptop</t>
  </si>
  <si>
    <t>Enter / Change Value</t>
  </si>
  <si>
    <t>Precalculated Value. Can be overwritten</t>
  </si>
  <si>
    <t>Only for Information. Don't change</t>
  </si>
  <si>
    <t>Laptop: cmd.exe (for accessing stranger nets)</t>
  </si>
  <si>
    <t xml:space="preserve">  -p = permanent</t>
  </si>
  <si>
    <t>IF 11 (2,4GHz)</t>
  </si>
  <si>
    <t>10.10.150.200</t>
  </si>
  <si>
    <t>Ist BWH</t>
  </si>
  <si>
    <t>Strg+C</t>
  </si>
  <si>
    <t>Strg+V</t>
  </si>
  <si>
    <t>MM</t>
  </si>
  <si>
    <t>Messages</t>
  </si>
  <si>
    <t>Serial number BWH</t>
  </si>
  <si>
    <t>Serial number HGW</t>
  </si>
  <si>
    <t>REM route print --&gt; list all set routes</t>
  </si>
  <si>
    <t>*</t>
  </si>
  <si>
    <t>OS-Version &gt;= 09.03.150 needed</t>
  </si>
  <si>
    <t>Machinemanager (Online opver IP)</t>
  </si>
  <si>
    <t>channels-freqlist</t>
  </si>
  <si>
    <t xml:space="preserve">StartFrequency 2,4GHz </t>
  </si>
  <si>
    <t>selected Chan. 2,4GHz</t>
  </si>
  <si>
    <t>selected Chan. 5GHz</t>
  </si>
  <si>
    <t xml:space="preserve">StartFrequency 5GHz </t>
  </si>
  <si>
    <t xml:space="preserve">ChanlWidth 5GHz </t>
  </si>
  <si>
    <t xml:space="preserve">ChanlWith 2,4GHz </t>
  </si>
  <si>
    <t># maximal TX power in dBm</t>
  </si>
  <si>
    <t># tx_power = 20</t>
  </si>
  <si>
    <t>rem SET IP 2 HOSTADDR 10 235 20 65 SUBNET 255 255 255 0</t>
  </si>
  <si>
    <t>rem ADDBR 50 1 2 10 11</t>
  </si>
  <si>
    <t>rem SET IP 50 HOSTADDR 10 235 10 65 SUBNET 255 255 255 0</t>
  </si>
  <si>
    <t>WLAN-Kanäle 2,4GHz</t>
  </si>
  <si>
    <t>Kanal</t>
  </si>
  <si>
    <t>BW</t>
  </si>
  <si>
    <t>K-einstellen</t>
  </si>
  <si>
    <t>BW-einstellen</t>
  </si>
  <si>
    <t>WLAN-Kanäle 5GHz</t>
  </si>
  <si>
    <t>Träger GHz</t>
  </si>
  <si>
    <t>1 (BW 20)</t>
  </si>
  <si>
    <t>2 (BW 20)</t>
  </si>
  <si>
    <t>3 (BW 20)</t>
  </si>
  <si>
    <t>4 (BW 20)</t>
  </si>
  <si>
    <t>5 (BW 20)</t>
  </si>
  <si>
    <t>6 (BW 20)</t>
  </si>
  <si>
    <t>7 (BW 20)</t>
  </si>
  <si>
    <t>8 (BW 20)</t>
  </si>
  <si>
    <t>9 (BW 20)</t>
  </si>
  <si>
    <t>10 (BW 20)</t>
  </si>
  <si>
    <t>11 (BW 20)</t>
  </si>
  <si>
    <t>12 (BW 20)</t>
  </si>
  <si>
    <t>13 (BW 20)</t>
  </si>
  <si>
    <t>36 (BW 20)</t>
  </si>
  <si>
    <t>40 (BW 20)</t>
  </si>
  <si>
    <t>44 (BW 20)</t>
  </si>
  <si>
    <t>48 (BW 20)</t>
  </si>
  <si>
    <t>149 (BW 20)</t>
  </si>
  <si>
    <t>153 (BW 20)</t>
  </si>
  <si>
    <t>157 (BW 20)</t>
  </si>
  <si>
    <t>161 (BW 20)</t>
  </si>
  <si>
    <t>165 (BW 20)</t>
  </si>
  <si>
    <t>38 (BW 40)</t>
  </si>
  <si>
    <t>46 (BW 40)</t>
  </si>
  <si>
    <t>151 (BW 40)</t>
  </si>
  <si>
    <t>159 (BW 40)</t>
  </si>
  <si>
    <t>155 (BW 80)</t>
  </si>
  <si>
    <t>42 (BW 80)</t>
  </si>
  <si>
    <t>Base-Ch</t>
  </si>
  <si>
    <t>Afghanistan</t>
  </si>
  <si>
    <t>AF</t>
  </si>
  <si>
    <t>Ägypten</t>
  </si>
  <si>
    <t>EG</t>
  </si>
  <si>
    <t>Albanien</t>
  </si>
  <si>
    <t>AL</t>
  </si>
  <si>
    <t>Algerien</t>
  </si>
  <si>
    <t>DZ</t>
  </si>
  <si>
    <t>VI</t>
  </si>
  <si>
    <t>AS</t>
  </si>
  <si>
    <t>Andorra</t>
  </si>
  <si>
    <t>AD</t>
  </si>
  <si>
    <t>Angola</t>
  </si>
  <si>
    <t>AO</t>
  </si>
  <si>
    <t>Anguilla</t>
  </si>
  <si>
    <t>AI</t>
  </si>
  <si>
    <t>Antigua und Barbuda</t>
  </si>
  <si>
    <t>AG</t>
  </si>
  <si>
    <t>GQ</t>
  </si>
  <si>
    <t>Argentinien</t>
  </si>
  <si>
    <t>AR</t>
  </si>
  <si>
    <t>Armenien</t>
  </si>
  <si>
    <t>AM</t>
  </si>
  <si>
    <t>Aruba</t>
  </si>
  <si>
    <t>AW</t>
  </si>
  <si>
    <t>Aserbaidschan</t>
  </si>
  <si>
    <t>AZ</t>
  </si>
  <si>
    <t>Äthiopien</t>
  </si>
  <si>
    <t>ET</t>
  </si>
  <si>
    <t>Australien</t>
  </si>
  <si>
    <t>AU</t>
  </si>
  <si>
    <t>Bahamas</t>
  </si>
  <si>
    <t>BS</t>
  </si>
  <si>
    <t>Bahrain</t>
  </si>
  <si>
    <t>BH</t>
  </si>
  <si>
    <t>BD</t>
  </si>
  <si>
    <t>Barbados</t>
  </si>
  <si>
    <t>BB</t>
  </si>
  <si>
    <t>BY</t>
  </si>
  <si>
    <t>Belgien</t>
  </si>
  <si>
    <t>BE</t>
  </si>
  <si>
    <t>Belize</t>
  </si>
  <si>
    <t>BZ</t>
  </si>
  <si>
    <t>Benin</t>
  </si>
  <si>
    <t>BJ</t>
  </si>
  <si>
    <t>BM</t>
  </si>
  <si>
    <t>Bhutan</t>
  </si>
  <si>
    <t>BT</t>
  </si>
  <si>
    <t>Bolivien</t>
  </si>
  <si>
    <t>BO</t>
  </si>
  <si>
    <t>BA</t>
  </si>
  <si>
    <t>Brasilien</t>
  </si>
  <si>
    <t>BR</t>
  </si>
  <si>
    <t>VG</t>
  </si>
  <si>
    <t>BN</t>
  </si>
  <si>
    <t>Bulgarien</t>
  </si>
  <si>
    <t>BG</t>
  </si>
  <si>
    <t>Burkina Faso</t>
  </si>
  <si>
    <t>BF</t>
  </si>
  <si>
    <t>Burundi</t>
  </si>
  <si>
    <t>BI</t>
  </si>
  <si>
    <t>CV</t>
  </si>
  <si>
    <t>Chile</t>
  </si>
  <si>
    <t>CL</t>
  </si>
  <si>
    <t>China</t>
  </si>
  <si>
    <t>CN</t>
  </si>
  <si>
    <t>CK</t>
  </si>
  <si>
    <t>Costa Rica</t>
  </si>
  <si>
    <t>CR</t>
  </si>
  <si>
    <t>CI</t>
  </si>
  <si>
    <t>Dänemark</t>
  </si>
  <si>
    <t>DK</t>
  </si>
  <si>
    <t>Deutschland</t>
  </si>
  <si>
    <t>DE</t>
  </si>
  <si>
    <t>DM</t>
  </si>
  <si>
    <t>Dominikanische Republik</t>
  </si>
  <si>
    <t>DO</t>
  </si>
  <si>
    <t>DJ</t>
  </si>
  <si>
    <t>Ecuador</t>
  </si>
  <si>
    <t>EC</t>
  </si>
  <si>
    <t>El Salvador</t>
  </si>
  <si>
    <t>SV</t>
  </si>
  <si>
    <t>Eritrea</t>
  </si>
  <si>
    <t>ER</t>
  </si>
  <si>
    <t>Estland</t>
  </si>
  <si>
    <t>EE</t>
  </si>
  <si>
    <t>SZ</t>
  </si>
  <si>
    <t>FK</t>
  </si>
  <si>
    <t>FO</t>
  </si>
  <si>
    <t>Fidschi</t>
  </si>
  <si>
    <t>FJ</t>
  </si>
  <si>
    <t>Finnland</t>
  </si>
  <si>
    <t>FI</t>
  </si>
  <si>
    <t>Frankreich</t>
  </si>
  <si>
    <t>FR</t>
  </si>
  <si>
    <t>GF</t>
  </si>
  <si>
    <t>PF</t>
  </si>
  <si>
    <t>Gabun</t>
  </si>
  <si>
    <t>GA</t>
  </si>
  <si>
    <t>Gambia</t>
  </si>
  <si>
    <t>GM</t>
  </si>
  <si>
    <t>PS</t>
  </si>
  <si>
    <t>Georgien</t>
  </si>
  <si>
    <t>GE</t>
  </si>
  <si>
    <t>Ghana</t>
  </si>
  <si>
    <t>GH</t>
  </si>
  <si>
    <t>Gibraltar</t>
  </si>
  <si>
    <t>GI</t>
  </si>
  <si>
    <t>Grenada</t>
  </si>
  <si>
    <t>GD</t>
  </si>
  <si>
    <t>Griechenland</t>
  </si>
  <si>
    <t>GR</t>
  </si>
  <si>
    <t>Grönland</t>
  </si>
  <si>
    <t>GL</t>
  </si>
  <si>
    <t>Großbritannien</t>
  </si>
  <si>
    <t>GB</t>
  </si>
  <si>
    <t>Guadeloupe</t>
  </si>
  <si>
    <t>GP</t>
  </si>
  <si>
    <t>Guam</t>
  </si>
  <si>
    <t>GU</t>
  </si>
  <si>
    <t>Guatemala</t>
  </si>
  <si>
    <t>GT</t>
  </si>
  <si>
    <t>Guinea</t>
  </si>
  <si>
    <t>GN</t>
  </si>
  <si>
    <t>GW</t>
  </si>
  <si>
    <t>Guyana</t>
  </si>
  <si>
    <t>GY</t>
  </si>
  <si>
    <t>Haiti</t>
  </si>
  <si>
    <t>HT</t>
  </si>
  <si>
    <t>Honduras</t>
  </si>
  <si>
    <t>HN</t>
  </si>
  <si>
    <t>HK</t>
  </si>
  <si>
    <t>Indien</t>
  </si>
  <si>
    <t>IN</t>
  </si>
  <si>
    <t>Indonesien</t>
  </si>
  <si>
    <t>ID</t>
  </si>
  <si>
    <t>Irak</t>
  </si>
  <si>
    <t>IQ</t>
  </si>
  <si>
    <t>Iran</t>
  </si>
  <si>
    <t>IR</t>
  </si>
  <si>
    <t>Irland</t>
  </si>
  <si>
    <t>IE</t>
  </si>
  <si>
    <t>Island</t>
  </si>
  <si>
    <t>IS</t>
  </si>
  <si>
    <t>Israel</t>
  </si>
  <si>
    <t>IL</t>
  </si>
  <si>
    <t>Italien</t>
  </si>
  <si>
    <t>IT</t>
  </si>
  <si>
    <t>Jamaika</t>
  </si>
  <si>
    <t>JM</t>
  </si>
  <si>
    <t>Japan</t>
  </si>
  <si>
    <t>JP</t>
  </si>
  <si>
    <t>Jemen</t>
  </si>
  <si>
    <t>YE</t>
  </si>
  <si>
    <t>Jordanien</t>
  </si>
  <si>
    <t>JO</t>
  </si>
  <si>
    <t>KY</t>
  </si>
  <si>
    <t>Kambodscha</t>
  </si>
  <si>
    <t>KH</t>
  </si>
  <si>
    <t>Kamerun</t>
  </si>
  <si>
    <t>CM</t>
  </si>
  <si>
    <t>Kanada</t>
  </si>
  <si>
    <t>CA</t>
  </si>
  <si>
    <t>Kasachstan</t>
  </si>
  <si>
    <t>KZ</t>
  </si>
  <si>
    <t>QA</t>
  </si>
  <si>
    <t>Kenia</t>
  </si>
  <si>
    <t>KE</t>
  </si>
  <si>
    <t>Kirgisistan</t>
  </si>
  <si>
    <t>KG</t>
  </si>
  <si>
    <t>Kiribati</t>
  </si>
  <si>
    <t>KI</t>
  </si>
  <si>
    <t>CC</t>
  </si>
  <si>
    <t>Kolumbien</t>
  </si>
  <si>
    <t>CO</t>
  </si>
  <si>
    <t>Komoren</t>
  </si>
  <si>
    <t>KM</t>
  </si>
  <si>
    <t>Kongo</t>
  </si>
  <si>
    <t>CG</t>
  </si>
  <si>
    <t>CD</t>
  </si>
  <si>
    <t>KP</t>
  </si>
  <si>
    <t>KR</t>
  </si>
  <si>
    <t>Kroatien</t>
  </si>
  <si>
    <t>HR</t>
  </si>
  <si>
    <t>Kuba</t>
  </si>
  <si>
    <t>CU</t>
  </si>
  <si>
    <t>Kuwait</t>
  </si>
  <si>
    <t>KW</t>
  </si>
  <si>
    <t>Laos</t>
  </si>
  <si>
    <t>LA</t>
  </si>
  <si>
    <t>Lesotho</t>
  </si>
  <si>
    <t>LS</t>
  </si>
  <si>
    <t>Lettland</t>
  </si>
  <si>
    <t>LV</t>
  </si>
  <si>
    <t>Libanon</t>
  </si>
  <si>
    <t>LB</t>
  </si>
  <si>
    <t>Liberia</t>
  </si>
  <si>
    <t>LR</t>
  </si>
  <si>
    <t>Libyen</t>
  </si>
  <si>
    <t>LY</t>
  </si>
  <si>
    <t>Liechtenstein</t>
  </si>
  <si>
    <t>LI</t>
  </si>
  <si>
    <t>Litauen</t>
  </si>
  <si>
    <t>LT</t>
  </si>
  <si>
    <t>Luxemburg</t>
  </si>
  <si>
    <t>LU</t>
  </si>
  <si>
    <t>MO</t>
  </si>
  <si>
    <t>Madagaskar</t>
  </si>
  <si>
    <t>MG</t>
  </si>
  <si>
    <t>Malawi</t>
  </si>
  <si>
    <t>MW</t>
  </si>
  <si>
    <t>Malaysia</t>
  </si>
  <si>
    <t>MY</t>
  </si>
  <si>
    <t>Malediven</t>
  </si>
  <si>
    <t>MV</t>
  </si>
  <si>
    <t>Mali</t>
  </si>
  <si>
    <t>ML</t>
  </si>
  <si>
    <t>Malta</t>
  </si>
  <si>
    <t>MT</t>
  </si>
  <si>
    <t>Marokko</t>
  </si>
  <si>
    <t>MA</t>
  </si>
  <si>
    <t>MH</t>
  </si>
  <si>
    <t>Martinique</t>
  </si>
  <si>
    <t>MQ</t>
  </si>
  <si>
    <t>Mauretanien</t>
  </si>
  <si>
    <t>MR</t>
  </si>
  <si>
    <t>Mauritius</t>
  </si>
  <si>
    <t>MU</t>
  </si>
  <si>
    <t>Mayotte</t>
  </si>
  <si>
    <t>YT</t>
  </si>
  <si>
    <t>Mexiko</t>
  </si>
  <si>
    <t>MX</t>
  </si>
  <si>
    <t>Mikronesien</t>
  </si>
  <si>
    <t>FM</t>
  </si>
  <si>
    <t>MD</t>
  </si>
  <si>
    <t>Monaco</t>
  </si>
  <si>
    <t>MC</t>
  </si>
  <si>
    <t>Mongolei</t>
  </si>
  <si>
    <t>MN</t>
  </si>
  <si>
    <t>Montserrat</t>
  </si>
  <si>
    <t>MS</t>
  </si>
  <si>
    <t>MZ</t>
  </si>
  <si>
    <t>Namibia</t>
  </si>
  <si>
    <t>NA</t>
  </si>
  <si>
    <t>Nauru</t>
  </si>
  <si>
    <t>NR</t>
  </si>
  <si>
    <t>Nepal</t>
  </si>
  <si>
    <t>NP</t>
  </si>
  <si>
    <t>Neukaledonien</t>
  </si>
  <si>
    <t>NC</t>
  </si>
  <si>
    <t>Neuseeland</t>
  </si>
  <si>
    <t>NZ</t>
  </si>
  <si>
    <t>Nicaragua</t>
  </si>
  <si>
    <t>NI</t>
  </si>
  <si>
    <t>Niederlande</t>
  </si>
  <si>
    <t>NL</t>
  </si>
  <si>
    <t>Niger</t>
  </si>
  <si>
    <t>NE</t>
  </si>
  <si>
    <t>Nigeria</t>
  </si>
  <si>
    <t>NG</t>
  </si>
  <si>
    <t>Niue</t>
  </si>
  <si>
    <t>NU</t>
  </si>
  <si>
    <t>MP</t>
  </si>
  <si>
    <t>MK</t>
  </si>
  <si>
    <t>NF</t>
  </si>
  <si>
    <t>Norwegen</t>
  </si>
  <si>
    <t>NO</t>
  </si>
  <si>
    <t>Oman</t>
  </si>
  <si>
    <t>OM</t>
  </si>
  <si>
    <t>Österreich</t>
  </si>
  <si>
    <t>Pakistan</t>
  </si>
  <si>
    <t>PK</t>
  </si>
  <si>
    <t>Palau</t>
  </si>
  <si>
    <t>Panama</t>
  </si>
  <si>
    <t>PA</t>
  </si>
  <si>
    <t>PG</t>
  </si>
  <si>
    <t>Paraguay</t>
  </si>
  <si>
    <t>PY</t>
  </si>
  <si>
    <t>Peru</t>
  </si>
  <si>
    <t>PE</t>
  </si>
  <si>
    <t>Philippinen</t>
  </si>
  <si>
    <t>PH</t>
  </si>
  <si>
    <t>PN</t>
  </si>
  <si>
    <t>Polen</t>
  </si>
  <si>
    <t>PL</t>
  </si>
  <si>
    <t>Portugal</t>
  </si>
  <si>
    <t>PT</t>
  </si>
  <si>
    <t>Puerto Rico</t>
  </si>
  <si>
    <t>PR</t>
  </si>
  <si>
    <t>RE</t>
  </si>
  <si>
    <t>Ruanda</t>
  </si>
  <si>
    <t>RW</t>
  </si>
  <si>
    <t>Rumänien</t>
  </si>
  <si>
    <t>RO</t>
  </si>
  <si>
    <t>RU</t>
  </si>
  <si>
    <t>SB</t>
  </si>
  <si>
    <t>Sambia</t>
  </si>
  <si>
    <t>ZM</t>
  </si>
  <si>
    <t>Samoa</t>
  </si>
  <si>
    <t>WS</t>
  </si>
  <si>
    <t>San Marino</t>
  </si>
  <si>
    <t>SM</t>
  </si>
  <si>
    <t>ST</t>
  </si>
  <si>
    <t>SA</t>
  </si>
  <si>
    <t>Schweden</t>
  </si>
  <si>
    <t>SE</t>
  </si>
  <si>
    <t>Schweiz</t>
  </si>
  <si>
    <t>CH</t>
  </si>
  <si>
    <t>Senegal</t>
  </si>
  <si>
    <t>SN</t>
  </si>
  <si>
    <t>Seychellen</t>
  </si>
  <si>
    <t>SC</t>
  </si>
  <si>
    <t>Sierra Leone</t>
  </si>
  <si>
    <t>SL</t>
  </si>
  <si>
    <t>ZW</t>
  </si>
  <si>
    <t>Singapur</t>
  </si>
  <si>
    <t>SG</t>
  </si>
  <si>
    <t>Slowakei</t>
  </si>
  <si>
    <t>SK</t>
  </si>
  <si>
    <t>Slowenien</t>
  </si>
  <si>
    <t>SI</t>
  </si>
  <si>
    <t>Somalia</t>
  </si>
  <si>
    <t>SO</t>
  </si>
  <si>
    <t>Spanien</t>
  </si>
  <si>
    <t>ES</t>
  </si>
  <si>
    <t>SJ</t>
  </si>
  <si>
    <t>Sri Lanka</t>
  </si>
  <si>
    <t>LK</t>
  </si>
  <si>
    <t>KN</t>
  </si>
  <si>
    <t>LC</t>
  </si>
  <si>
    <t>St. Pierre und Miquelon</t>
  </si>
  <si>
    <t>PM</t>
  </si>
  <si>
    <t>VC</t>
  </si>
  <si>
    <t>Südafrika</t>
  </si>
  <si>
    <t>ZA</t>
  </si>
  <si>
    <t>Sudan</t>
  </si>
  <si>
    <t>SD</t>
  </si>
  <si>
    <t>Südgeorgien und die Südlichen Sandwichinseln</t>
  </si>
  <si>
    <t>GS</t>
  </si>
  <si>
    <t>SR</t>
  </si>
  <si>
    <t>Syrien</t>
  </si>
  <si>
    <t>SY</t>
  </si>
  <si>
    <t>Tadschikistan</t>
  </si>
  <si>
    <t>TJ</t>
  </si>
  <si>
    <t>Taiwan</t>
  </si>
  <si>
    <t>TW</t>
  </si>
  <si>
    <t>Tansania</t>
  </si>
  <si>
    <t>TZ</t>
  </si>
  <si>
    <t>Thailand</t>
  </si>
  <si>
    <t>TH</t>
  </si>
  <si>
    <t>Togo</t>
  </si>
  <si>
    <t>TG</t>
  </si>
  <si>
    <t>Tokelau</t>
  </si>
  <si>
    <t>TK</t>
  </si>
  <si>
    <t>Tonga</t>
  </si>
  <si>
    <t>TO</t>
  </si>
  <si>
    <t>TT</t>
  </si>
  <si>
    <t>Tschad</t>
  </si>
  <si>
    <t>TD</t>
  </si>
  <si>
    <t>Tschechische Republik</t>
  </si>
  <si>
    <t>CZ</t>
  </si>
  <si>
    <t>Tunesien</t>
  </si>
  <si>
    <t>TN</t>
  </si>
  <si>
    <t>Türkei</t>
  </si>
  <si>
    <t>TR</t>
  </si>
  <si>
    <t>Turkmenistan</t>
  </si>
  <si>
    <t>TM</t>
  </si>
  <si>
    <t>TC</t>
  </si>
  <si>
    <t>Tuvalu</t>
  </si>
  <si>
    <t>TV</t>
  </si>
  <si>
    <t>Uganda</t>
  </si>
  <si>
    <t>UG</t>
  </si>
  <si>
    <t>Ukraine</t>
  </si>
  <si>
    <t>UA</t>
  </si>
  <si>
    <t>Ungarn</t>
  </si>
  <si>
    <t>HU</t>
  </si>
  <si>
    <t>Uruguay</t>
  </si>
  <si>
    <t>UY</t>
  </si>
  <si>
    <t>Usbekistan</t>
  </si>
  <si>
    <t>UZ</t>
  </si>
  <si>
    <t>Vanuatu</t>
  </si>
  <si>
    <t>VU</t>
  </si>
  <si>
    <t>VA</t>
  </si>
  <si>
    <t>Venezuela</t>
  </si>
  <si>
    <t>VE</t>
  </si>
  <si>
    <t>Vereinigte Arabische Emirate</t>
  </si>
  <si>
    <t>AE</t>
  </si>
  <si>
    <t>US</t>
  </si>
  <si>
    <t>Vietnam</t>
  </si>
  <si>
    <t>VN</t>
  </si>
  <si>
    <t>WF</t>
  </si>
  <si>
    <t>CX</t>
  </si>
  <si>
    <t>Westsahara</t>
  </si>
  <si>
    <t>EH</t>
  </si>
  <si>
    <t>Zentralafrikanische Republik</t>
  </si>
  <si>
    <t>CF</t>
  </si>
  <si>
    <t>Zypern</t>
  </si>
  <si>
    <t>CY</t>
  </si>
  <si>
    <t>AQ</t>
  </si>
  <si>
    <t>Antarktis</t>
  </si>
  <si>
    <t>Äquatorial Guinea</t>
  </si>
  <si>
    <t>Bangladesh</t>
  </si>
  <si>
    <t>Bermudas</t>
  </si>
  <si>
    <t>Birma</t>
  </si>
  <si>
    <t>Bosnien-Herzegowina</t>
  </si>
  <si>
    <t>Botswana</t>
  </si>
  <si>
    <t>BV</t>
  </si>
  <si>
    <t>Bouvet Inseln</t>
  </si>
  <si>
    <t>IO</t>
  </si>
  <si>
    <t>Britisch-Indischer Ozean</t>
  </si>
  <si>
    <t>Brunei</t>
  </si>
  <si>
    <t>Christmas Island</t>
  </si>
  <si>
    <t>Cook Inseln</t>
  </si>
  <si>
    <t>Djibuti</t>
  </si>
  <si>
    <t>Dominika</t>
  </si>
  <si>
    <t>Elfenbeinküste</t>
  </si>
  <si>
    <t>Falkland Inseln</t>
  </si>
  <si>
    <t>Färöer Inseln</t>
  </si>
  <si>
    <t>französisch Guyana</t>
  </si>
  <si>
    <t>Französisch Polynesien</t>
  </si>
  <si>
    <t>TF</t>
  </si>
  <si>
    <t>Französisches Süd-Territorium</t>
  </si>
  <si>
    <t>UK</t>
  </si>
  <si>
    <t>Großbritannien (UK)</t>
  </si>
  <si>
    <t>Guinea Bissau</t>
  </si>
  <si>
    <t>HM</t>
  </si>
  <si>
    <t>Heard und McDonald Islands</t>
  </si>
  <si>
    <t>Hong Kong</t>
  </si>
  <si>
    <t>YU</t>
  </si>
  <si>
    <t>Jugoslawien</t>
  </si>
  <si>
    <t>Kaiman Inseln</t>
  </si>
  <si>
    <t>Kap Verde</t>
  </si>
  <si>
    <t>Kokosinseln</t>
  </si>
  <si>
    <t>Demokratische Republik Kongo</t>
  </si>
  <si>
    <t>Macao</t>
  </si>
  <si>
    <t>Marianen</t>
  </si>
  <si>
    <t>Marshall Inseln</t>
  </si>
  <si>
    <t>Mazedonien</t>
  </si>
  <si>
    <t>Mocambique</t>
  </si>
  <si>
    <t>Moldavien</t>
  </si>
  <si>
    <t>AN</t>
  </si>
  <si>
    <t>Niederländische Antillen</t>
  </si>
  <si>
    <t>Nord Korea</t>
  </si>
  <si>
    <t>Norfolk Inseln</t>
  </si>
  <si>
    <t>Palästina</t>
  </si>
  <si>
    <t>Papua Neuguinea</t>
  </si>
  <si>
    <t>Pitcairn</t>
  </si>
  <si>
    <t>Qatar</t>
  </si>
  <si>
    <t>Reunion</t>
  </si>
  <si>
    <t>Russland</t>
  </si>
  <si>
    <t>Saint Lucia</t>
  </si>
  <si>
    <t>Sao Tome</t>
  </si>
  <si>
    <t>Saudi Arabien</t>
  </si>
  <si>
    <t>Solomon Inseln</t>
  </si>
  <si>
    <t>SH</t>
  </si>
  <si>
    <t>St. Helena</t>
  </si>
  <si>
    <t>St. Kitts Nevis Anguilla</t>
  </si>
  <si>
    <t>St. Vincent</t>
  </si>
  <si>
    <t>Süd Korea</t>
  </si>
  <si>
    <t>Surinam</t>
  </si>
  <si>
    <t>Svalbard und Jan Mayen Islands</t>
  </si>
  <si>
    <t>Swasiland</t>
  </si>
  <si>
    <t>TP</t>
  </si>
  <si>
    <t>Timor</t>
  </si>
  <si>
    <t>Trinidad Tobago</t>
  </si>
  <si>
    <t>Turks und Kaikos Inseln</t>
  </si>
  <si>
    <t>Vatikan</t>
  </si>
  <si>
    <t>Vereinigte Staaten von Amerika</t>
  </si>
  <si>
    <t>Virgin Island (Brit.)</t>
  </si>
  <si>
    <t>Virgin Island (USA)</t>
  </si>
  <si>
    <t>Wallis et Futuna</t>
  </si>
  <si>
    <t>Weissrussland</t>
  </si>
  <si>
    <t>Zimbabwe</t>
  </si>
  <si>
    <t>iso-3166-1</t>
  </si>
  <si>
    <t>RUN</t>
  </si>
  <si>
    <t>WLAN-Channel</t>
  </si>
  <si>
    <t>Encryption</t>
  </si>
  <si>
    <t>Countrycodes</t>
  </si>
  <si>
    <t>NONE</t>
  </si>
  <si>
    <t>WPA-TKIP</t>
  </si>
  <si>
    <t>WPA-AES</t>
  </si>
  <si>
    <t>WPA2-TKIP</t>
  </si>
  <si>
    <t>WPA2-AES</t>
  </si>
  <si>
    <t>WPA-PSK</t>
  </si>
  <si>
    <t>key_mgt</t>
  </si>
  <si>
    <t>pairwise</t>
  </si>
  <si>
    <t>LEER</t>
  </si>
  <si>
    <t>TKIP</t>
  </si>
  <si>
    <t>CCMP</t>
  </si>
  <si>
    <t>proto</t>
  </si>
  <si>
    <t>WPA2</t>
  </si>
  <si>
    <t>SELECTED</t>
  </si>
  <si>
    <t>BWH10</t>
  </si>
  <si>
    <t>BWH11</t>
  </si>
  <si>
    <t>HGW10</t>
  </si>
  <si>
    <t>HGW11</t>
  </si>
  <si>
    <t>lt Linux-Doku RSN, WLAN-Doku +PraErw auch WPA2 erlaubt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</si>
</sst>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8" x14ac:knownFonts="1">
    <font>
      <sz val="1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sz val="10"/>
      <color rgb="FF333333"/>
      <name val="Arial"/>
      <family val="2"/>
    </font>
    <font>
      <i/>
      <sz val="10"/>
      <color rgb="FF808080"/>
      <name val="Arial"/>
      <family val="2"/>
    </font>
    <font>
      <u/>
      <sz val="10"/>
      <color rgb="FF0000EE"/>
      <name val="Arial"/>
      <family val="2"/>
    </font>
    <font>
      <sz val="10"/>
      <color rgb="FF006600"/>
      <name val="Arial"/>
      <family val="2"/>
    </font>
    <font>
      <sz val="10"/>
      <color rgb="FF996600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name val="Lucida Console"/>
      <family val="3"/>
    </font>
    <font>
      <b/>
      <sz val="10"/>
      <name val="Arial"/>
      <family val="2"/>
    </font>
    <font>
      <sz val="10"/>
      <color rgb="FF666666"/>
      <name val="Lucida Console"/>
      <family val="3"/>
    </font>
    <font>
      <sz val="10"/>
      <color rgb="FF000000"/>
      <name val="Lucida Console"/>
      <family val="3"/>
    </font>
    <font>
      <sz val="8"/>
      <name val="Lucida Console"/>
      <family val="3"/>
    </font>
    <font>
      <sz val="8"/>
      <color rgb="FF808080"/>
      <name val="Lucida Console"/>
      <family val="3"/>
    </font>
    <font>
      <sz val="8"/>
      <color rgb="FFFF0000"/>
      <name val="Lucida Console"/>
      <family val="3"/>
    </font>
    <font>
      <sz val="8"/>
      <color rgb="FF000000"/>
      <name val="Lucida Console"/>
      <family val="3"/>
    </font>
    <font>
      <sz val="8"/>
      <color rgb="FFFF4000"/>
      <name val="Lucida Console"/>
      <family val="3"/>
    </font>
    <font>
      <sz val="10"/>
      <name val="Arial"/>
      <family val="2"/>
    </font>
    <font>
      <sz val="8"/>
      <color theme="0"/>
      <name val="Lucida Console"/>
      <family val="3"/>
    </font>
    <font>
      <sz val="8"/>
      <name val="Arial"/>
      <family val="2"/>
    </font>
    <font>
      <sz val="11"/>
      <color rgb="FF006100"/>
      <name val="Calibri"/>
      <family val="2"/>
      <scheme val="minor"/>
    </font>
    <font>
      <sz val="10"/>
      <color rgb="FFFF0000"/>
      <name val="Arial"/>
      <family val="2"/>
    </font>
    <font>
      <sz val="8"/>
      <color theme="0" tint="-0.499984740745262"/>
      <name val="Lucida Console"/>
      <family val="3"/>
    </font>
    <font>
      <sz val="10"/>
      <color theme="0" tint="-0.34998626667073579"/>
      <name val="Arial"/>
      <family val="2"/>
    </font>
    <font>
      <sz val="8"/>
      <color theme="1" tint="0.499984740745262"/>
      <name val="Lucida Console"/>
      <family val="3"/>
    </font>
    <font>
      <sz val="9"/>
      <color theme="5" tint="-0.249977111117893"/>
      <name val="Arial"/>
      <family val="2"/>
    </font>
    <font>
      <sz val="9"/>
      <name val="Lucida Console"/>
      <family val="3"/>
    </font>
    <font>
      <sz val="8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Lucida Console"/>
      <family val="3"/>
    </font>
    <font>
      <sz val="10"/>
      <color theme="0"/>
      <name val="Arial"/>
      <family val="2"/>
    </font>
    <font>
      <b/>
      <sz val="10"/>
      <color theme="0"/>
      <name val="Lucida Console"/>
      <family val="3"/>
    </font>
    <font>
      <sz val="9"/>
      <color theme="0"/>
      <name val="Segoe UI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C9211E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EE7E5"/>
      </patternFill>
    </fill>
    <fill>
      <patternFill patternType="solid">
        <fgColor rgb="FFFFFFFF"/>
        <bgColor rgb="FFFFFFCC"/>
      </patternFill>
    </fill>
    <fill>
      <patternFill patternType="solid">
        <fgColor rgb="FFB4C7DC"/>
        <bgColor rgb="FF99CCFF"/>
      </patternFill>
    </fill>
    <fill>
      <patternFill patternType="solid">
        <fgColor rgb="FFDEE7E5"/>
        <bgColor rgb="FFDDDDDD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DEE7E5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ck">
        <color rgb="FF00B050"/>
      </left>
      <right style="hair">
        <color rgb="FFFFFFFF"/>
      </right>
      <top style="thick">
        <color rgb="FF00B050"/>
      </top>
      <bottom style="hair">
        <color rgb="FFFFFFFF"/>
      </bottom>
      <diagonal/>
    </border>
    <border>
      <left style="hair">
        <color rgb="FFFFFFFF"/>
      </left>
      <right style="thick">
        <color rgb="FF00B050"/>
      </right>
      <top style="thick">
        <color rgb="FF00B050"/>
      </top>
      <bottom style="hair">
        <color rgb="FFFFFFFF"/>
      </bottom>
      <diagonal/>
    </border>
    <border>
      <left style="thick">
        <color rgb="FF00B050"/>
      </left>
      <right style="hair">
        <color rgb="FFFFFFFF"/>
      </right>
      <top style="hair">
        <color rgb="FFFFFFFF"/>
      </top>
      <bottom style="thick">
        <color rgb="FF00B050"/>
      </bottom>
      <diagonal/>
    </border>
    <border>
      <left style="hair">
        <color rgb="FFFFFFFF"/>
      </left>
      <right style="thick">
        <color rgb="FF00B050"/>
      </right>
      <top style="hair">
        <color rgb="FFFFFFFF"/>
      </top>
      <bottom style="thick">
        <color rgb="FF00B050"/>
      </bottom>
      <diagonal/>
    </border>
    <border>
      <left/>
      <right/>
      <top/>
      <bottom style="hair">
        <color rgb="FFFFFFFF"/>
      </bottom>
      <diagonal/>
    </border>
  </borders>
  <cellStyleXfs count="19">
    <xf numFmtId="0" fontId="0" fillId="0" borderId="0"/>
    <xf numFmtId="0" fontId="1" fillId="0" borderId="0" applyBorder="0" applyAlignment="0" applyProtection="0"/>
    <xf numFmtId="0" fontId="2" fillId="0" borderId="0" applyBorder="0" applyAlignment="0" applyProtection="0"/>
    <xf numFmtId="0" fontId="3" fillId="0" borderId="0" applyBorder="0" applyAlignment="0" applyProtection="0"/>
    <xf numFmtId="0" fontId="22" fillId="0" borderId="0" applyFont="0" applyBorder="0" applyAlignment="0" applyProtection="0"/>
    <xf numFmtId="0" fontId="4" fillId="2" borderId="1" applyAlignment="0" applyProtection="0"/>
    <xf numFmtId="0" fontId="5" fillId="0" borderId="0" applyBorder="0" applyAlignment="0" applyProtection="0"/>
    <xf numFmtId="0" fontId="6" fillId="0" borderId="0" applyBorder="0" applyAlignment="0" applyProtection="0"/>
    <xf numFmtId="0" fontId="22" fillId="0" borderId="0" applyFont="0" applyBorder="0" applyAlignment="0" applyProtection="0"/>
    <xf numFmtId="0" fontId="7" fillId="3" borderId="0" applyBorder="0" applyAlignment="0" applyProtection="0"/>
    <xf numFmtId="0" fontId="8" fillId="2" borderId="0" applyBorder="0" applyAlignment="0" applyProtection="0"/>
    <xf numFmtId="0" fontId="9" fillId="4" borderId="0" applyBorder="0" applyAlignment="0" applyProtection="0"/>
    <xf numFmtId="0" fontId="9" fillId="0" borderId="0" applyBorder="0" applyAlignment="0" applyProtection="0"/>
    <xf numFmtId="0" fontId="10" fillId="5" borderId="0" applyBorder="0" applyAlignment="0" applyProtection="0"/>
    <xf numFmtId="0" fontId="11" fillId="0" borderId="0" applyBorder="0" applyAlignment="0" applyProtection="0"/>
    <xf numFmtId="0" fontId="12" fillId="6" borderId="0" applyBorder="0" applyAlignment="0" applyProtection="0"/>
    <xf numFmtId="0" fontId="12" fillId="7" borderId="0" applyBorder="0" applyAlignment="0" applyProtection="0"/>
    <xf numFmtId="0" fontId="11" fillId="8" borderId="0" applyBorder="0" applyAlignment="0" applyProtection="0"/>
    <xf numFmtId="0" fontId="25" fillId="13" borderId="0" applyNumberFormat="0" applyBorder="0" applyAlignment="0" applyProtection="0"/>
  </cellStyleXfs>
  <cellXfs count="94">
    <xf numFmtId="0" fontId="0" fillId="0" borderId="0" xfId="0"/>
    <xf numFmtId="0" fontId="0" fillId="9" borderId="0" xfId="0" applyFill="1"/>
    <xf numFmtId="49" fontId="0" fillId="9" borderId="0" xfId="0" applyNumberFormat="1" applyFill="1"/>
    <xf numFmtId="0" fontId="0" fillId="8" borderId="2" xfId="0" applyFont="1" applyFill="1" applyBorder="1" applyAlignment="1">
      <alignment horizontal="center"/>
    </xf>
    <xf numFmtId="49" fontId="13" fillId="10" borderId="2" xfId="0" applyNumberFormat="1" applyFont="1" applyFill="1" applyBorder="1" applyAlignment="1">
      <alignment horizontal="center"/>
    </xf>
    <xf numFmtId="49" fontId="14" fillId="11" borderId="0" xfId="0" applyNumberFormat="1" applyFont="1" applyFill="1"/>
    <xf numFmtId="0" fontId="0" fillId="11" borderId="0" xfId="0" applyFill="1"/>
    <xf numFmtId="0" fontId="14" fillId="10" borderId="0" xfId="0" applyFont="1" applyFill="1"/>
    <xf numFmtId="0" fontId="0" fillId="10" borderId="0" xfId="0" applyFill="1"/>
    <xf numFmtId="0" fontId="0" fillId="8" borderId="2" xfId="0" applyFont="1" applyFill="1" applyBorder="1"/>
    <xf numFmtId="0" fontId="14" fillId="8" borderId="2" xfId="0" applyFont="1" applyFill="1" applyBorder="1" applyAlignment="1">
      <alignment horizontal="center"/>
    </xf>
    <xf numFmtId="0" fontId="15" fillId="10" borderId="2" xfId="0" applyFont="1" applyFill="1" applyBorder="1" applyAlignment="1">
      <alignment horizontal="center"/>
    </xf>
    <xf numFmtId="0" fontId="15" fillId="8" borderId="2" xfId="0" applyFont="1" applyFill="1" applyBorder="1" applyAlignment="1">
      <alignment horizontal="center"/>
    </xf>
    <xf numFmtId="49" fontId="16" fillId="10" borderId="2" xfId="0" applyNumberFormat="1" applyFont="1" applyFill="1" applyBorder="1" applyAlignment="1">
      <alignment horizontal="center"/>
    </xf>
    <xf numFmtId="0" fontId="15" fillId="10" borderId="2" xfId="0" applyFont="1" applyFill="1" applyBorder="1"/>
    <xf numFmtId="49" fontId="13" fillId="10" borderId="2" xfId="0" applyNumberFormat="1" applyFont="1" applyFill="1" applyBorder="1"/>
    <xf numFmtId="0" fontId="0" fillId="9" borderId="0" xfId="0" applyFill="1" applyAlignment="1">
      <alignment horizontal="center"/>
    </xf>
    <xf numFmtId="49" fontId="13" fillId="9" borderId="2" xfId="0" applyNumberFormat="1" applyFont="1" applyFill="1" applyBorder="1"/>
    <xf numFmtId="0" fontId="16" fillId="10" borderId="2" xfId="0" applyFont="1" applyFill="1" applyBorder="1" applyAlignment="1">
      <alignment horizontal="center"/>
    </xf>
    <xf numFmtId="0" fontId="15" fillId="10" borderId="2" xfId="0" applyFont="1" applyFill="1" applyBorder="1" applyAlignment="1">
      <alignment horizontal="center"/>
    </xf>
    <xf numFmtId="0" fontId="17" fillId="0" borderId="0" xfId="0" applyFont="1"/>
    <xf numFmtId="0" fontId="18" fillId="8" borderId="0" xfId="0" applyFont="1" applyFill="1"/>
    <xf numFmtId="0" fontId="17" fillId="8" borderId="0" xfId="0" applyFont="1" applyFill="1"/>
    <xf numFmtId="0" fontId="19" fillId="8" borderId="0" xfId="0" applyFont="1" applyFill="1"/>
    <xf numFmtId="0" fontId="20" fillId="8" borderId="0" xfId="0" applyFont="1" applyFill="1"/>
    <xf numFmtId="0" fontId="17" fillId="8" borderId="0" xfId="0" applyFont="1" applyFill="1"/>
    <xf numFmtId="0" fontId="21" fillId="8" borderId="0" xfId="0" applyFont="1" applyFill="1"/>
    <xf numFmtId="0" fontId="15" fillId="10" borderId="2" xfId="0" applyFont="1" applyFill="1" applyBorder="1"/>
    <xf numFmtId="0" fontId="13" fillId="0" borderId="0" xfId="0" applyFont="1"/>
    <xf numFmtId="0" fontId="23" fillId="6" borderId="0" xfId="0" applyFont="1" applyFill="1"/>
    <xf numFmtId="0" fontId="4" fillId="2" borderId="1" xfId="5"/>
    <xf numFmtId="0" fontId="4" fillId="2" borderId="1" xfId="5" applyAlignment="1">
      <alignment horizontal="center"/>
    </xf>
    <xf numFmtId="0" fontId="0" fillId="0" borderId="0" xfId="0" applyFill="1"/>
    <xf numFmtId="0" fontId="17" fillId="0" borderId="0" xfId="0" applyFont="1" applyFill="1"/>
    <xf numFmtId="0" fontId="19" fillId="0" borderId="0" xfId="0" applyFont="1" applyFill="1"/>
    <xf numFmtId="49" fontId="0" fillId="0" borderId="0" xfId="0" applyNumberFormat="1"/>
    <xf numFmtId="0" fontId="0" fillId="0" borderId="0" xfId="0" applyNumberFormat="1"/>
    <xf numFmtId="0" fontId="0" fillId="0" borderId="0" xfId="0" applyFont="1"/>
    <xf numFmtId="0" fontId="14" fillId="0" borderId="0" xfId="0" applyFont="1"/>
    <xf numFmtId="49" fontId="14" fillId="0" borderId="0" xfId="0" applyNumberFormat="1" applyFont="1"/>
    <xf numFmtId="0" fontId="25" fillId="13" borderId="0" xfId="18"/>
    <xf numFmtId="0" fontId="13" fillId="14" borderId="0" xfId="0" applyFont="1" applyFill="1"/>
    <xf numFmtId="0" fontId="0" fillId="14" borderId="0" xfId="0" applyFill="1"/>
    <xf numFmtId="0" fontId="13" fillId="15" borderId="0" xfId="0" applyFont="1" applyFill="1"/>
    <xf numFmtId="0" fontId="0" fillId="15" borderId="0" xfId="0" applyFill="1"/>
    <xf numFmtId="0" fontId="17" fillId="17" borderId="0" xfId="0" applyFont="1" applyFill="1"/>
    <xf numFmtId="0" fontId="0" fillId="12" borderId="0" xfId="0" applyFont="1" applyFill="1"/>
    <xf numFmtId="0" fontId="26" fillId="9" borderId="0" xfId="0" applyFont="1" applyFill="1"/>
    <xf numFmtId="0" fontId="13" fillId="10" borderId="2" xfId="0" applyFont="1" applyFill="1" applyBorder="1" applyAlignment="1">
      <alignment horizontal="center"/>
    </xf>
    <xf numFmtId="0" fontId="28" fillId="9" borderId="0" xfId="0" quotePrefix="1" applyFont="1" applyFill="1"/>
    <xf numFmtId="0" fontId="29" fillId="8" borderId="0" xfId="0" applyFont="1" applyFill="1"/>
    <xf numFmtId="0" fontId="0" fillId="8" borderId="3" xfId="0" applyFont="1" applyFill="1" applyBorder="1"/>
    <xf numFmtId="49" fontId="13" fillId="10" borderId="4" xfId="0" applyNumberFormat="1" applyFont="1" applyFill="1" applyBorder="1"/>
    <xf numFmtId="0" fontId="0" fillId="8" borderId="5" xfId="0" applyFont="1" applyFill="1" applyBorder="1"/>
    <xf numFmtId="49" fontId="13" fillId="10" borderId="6" xfId="0" applyNumberFormat="1" applyFont="1" applyFill="1" applyBorder="1"/>
    <xf numFmtId="0" fontId="15" fillId="10" borderId="2" xfId="0" applyNumberFormat="1" applyFont="1" applyFill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30" fillId="0" borderId="0" xfId="0" applyFont="1"/>
    <xf numFmtId="0" fontId="31" fillId="12" borderId="0" xfId="0" applyFont="1" applyFill="1"/>
    <xf numFmtId="0" fontId="24" fillId="0" borderId="0" xfId="0" applyFont="1"/>
    <xf numFmtId="0" fontId="32" fillId="0" borderId="0" xfId="0" applyFont="1"/>
    <xf numFmtId="0" fontId="24" fillId="0" borderId="0" xfId="0" applyFont="1" applyAlignment="1">
      <alignment horizontal="right"/>
    </xf>
    <xf numFmtId="0" fontId="32" fillId="0" borderId="0" xfId="0" applyFont="1" applyAlignment="1">
      <alignment horizontal="right"/>
    </xf>
    <xf numFmtId="0" fontId="27" fillId="8" borderId="0" xfId="0" applyFont="1" applyFill="1"/>
    <xf numFmtId="0" fontId="25" fillId="12" borderId="0" xfId="18" applyFill="1" applyAlignment="1">
      <alignment horizontal="center"/>
    </xf>
    <xf numFmtId="0" fontId="0" fillId="12" borderId="0" xfId="0" applyFill="1"/>
    <xf numFmtId="0" fontId="33" fillId="12" borderId="0" xfId="0" applyFont="1" applyFill="1"/>
    <xf numFmtId="0" fontId="34" fillId="12" borderId="0" xfId="0" applyFont="1" applyFill="1"/>
    <xf numFmtId="0" fontId="35" fillId="12" borderId="0" xfId="0" applyFont="1" applyFill="1"/>
    <xf numFmtId="0" fontId="33" fillId="16" borderId="0" xfId="0" applyFont="1" applyFill="1"/>
    <xf numFmtId="0" fontId="34" fillId="12" borderId="0" xfId="0" applyFont="1" applyFill="1" applyAlignment="1">
      <alignment horizontal="center"/>
    </xf>
    <xf numFmtId="0" fontId="35" fillId="12" borderId="0" xfId="0" applyFont="1" applyFill="1" applyAlignment="1">
      <alignment horizontal="center"/>
    </xf>
    <xf numFmtId="0" fontId="34" fillId="12" borderId="0" xfId="0" applyFont="1" applyFill="1" applyAlignment="1">
      <alignment horizontal="left"/>
    </xf>
    <xf numFmtId="0" fontId="34" fillId="16" borderId="0" xfId="0" applyFont="1" applyFill="1" applyAlignment="1">
      <alignment horizontal="center"/>
    </xf>
    <xf numFmtId="0" fontId="34" fillId="12" borderId="0" xfId="0" applyFont="1" applyFill="1" applyAlignment="1">
      <alignment horizontal="center" vertical="center"/>
    </xf>
    <xf numFmtId="0" fontId="35" fillId="12" borderId="0" xfId="0" applyFont="1" applyFill="1" applyAlignment="1">
      <alignment vertical="center"/>
    </xf>
    <xf numFmtId="0" fontId="36" fillId="12" borderId="0" xfId="0" applyFont="1" applyFill="1"/>
    <xf numFmtId="49" fontId="34" fillId="12" borderId="0" xfId="0" applyNumberFormat="1" applyFont="1" applyFill="1" applyAlignment="1">
      <alignment horizontal="right"/>
    </xf>
    <xf numFmtId="49" fontId="34" fillId="12" borderId="0" xfId="0" applyNumberFormat="1" applyFont="1" applyFill="1"/>
    <xf numFmtId="0" fontId="35" fillId="12" borderId="0" xfId="0" applyFont="1" applyFill="1" applyAlignment="1">
      <alignment horizontal="right"/>
    </xf>
    <xf numFmtId="164" fontId="35" fillId="12" borderId="0" xfId="0" applyNumberFormat="1" applyFont="1" applyFill="1" applyAlignment="1">
      <alignment horizontal="center"/>
    </xf>
    <xf numFmtId="0" fontId="37" fillId="12" borderId="0" xfId="0" applyFont="1" applyFill="1" applyAlignment="1">
      <alignment horizontal="left" vertical="center"/>
    </xf>
    <xf numFmtId="0" fontId="14" fillId="12" borderId="0" xfId="0" applyFont="1" applyFill="1"/>
    <xf numFmtId="0" fontId="23" fillId="17" borderId="0" xfId="0" applyFont="1" applyFill="1"/>
    <xf numFmtId="0" fontId="0" fillId="8" borderId="0" xfId="0" applyFont="1" applyFill="1" applyAlignment="1">
      <alignment horizontal="center" vertical="center"/>
    </xf>
    <xf numFmtId="0" fontId="0" fillId="8" borderId="7" xfId="0" applyFont="1" applyFill="1" applyBorder="1" applyAlignment="1">
      <alignment horizontal="center" vertical="center"/>
    </xf>
    <xf numFmtId="0" fontId="23" fillId="6" borderId="0" xfId="0" applyFont="1" applyFill="1" applyAlignment="1">
      <alignment horizontal="left"/>
    </xf>
    <xf numFmtId="0" fontId="17" fillId="8" borderId="0" xfId="0" applyFont="1" applyFill="1" applyAlignment="1">
      <alignment horizontal="left"/>
    </xf>
    <xf numFmtId="0" fontId="27" fillId="8" borderId="0" xfId="0" applyFont="1" applyFill="1" applyAlignment="1">
      <alignment horizontal="left"/>
    </xf>
    <xf numFmtId="0" fontId="25" fillId="13" borderId="0" xfId="18" applyAlignment="1">
      <alignment horizontal="center"/>
    </xf>
    <xf numFmtId="0" fontId="34" fillId="12" borderId="0" xfId="0" applyFont="1" applyFill="1" applyAlignment="1">
      <alignment horizontal="center" vertical="center"/>
    </xf>
    <xf numFmtId="0" fontId="35" fillId="12" borderId="0" xfId="0" applyFont="1" applyFill="1" applyAlignment="1">
      <alignment horizontal="center" vertical="center"/>
    </xf>
    <xf numFmtId="49" fontId="34" fillId="12" borderId="0" xfId="0" applyNumberFormat="1" applyFont="1" applyFill="1" applyAlignment="1">
      <alignment horizontal="center" vertical="center"/>
    </xf>
  </cellXfs>
  <cellStyles count="19">
    <cellStyle name="Accent" xfId="14" xr:uid="{00000000-0005-0000-0000-000013000000}"/>
    <cellStyle name="Accent 1" xfId="15" xr:uid="{00000000-0005-0000-0000-000014000000}"/>
    <cellStyle name="Accent 2" xfId="16" xr:uid="{00000000-0005-0000-0000-000015000000}"/>
    <cellStyle name="Accent 3" xfId="17" xr:uid="{00000000-0005-0000-0000-000016000000}"/>
    <cellStyle name="Bad" xfId="11" xr:uid="{00000000-0005-0000-0000-000010000000}"/>
    <cellStyle name="Error" xfId="13" xr:uid="{00000000-0005-0000-0000-000012000000}"/>
    <cellStyle name="Footnote" xfId="6" xr:uid="{00000000-0005-0000-0000-00000B000000}"/>
    <cellStyle name="Good" xfId="9" xr:uid="{00000000-0005-0000-0000-00000E000000}"/>
    <cellStyle name="Gut" xfId="18" builtinId="26"/>
    <cellStyle name="Heading" xfId="1" xr:uid="{00000000-0005-0000-0000-000006000000}"/>
    <cellStyle name="Heading 1" xfId="2" xr:uid="{00000000-0005-0000-0000-000007000000}"/>
    <cellStyle name="Heading 2" xfId="3" xr:uid="{00000000-0005-0000-0000-000008000000}"/>
    <cellStyle name="Hyperlink" xfId="7" xr:uid="{00000000-0005-0000-0000-00000C000000}"/>
    <cellStyle name="Neutral" xfId="10" xr:uid="{00000000-0005-0000-0000-00000F000000}"/>
    <cellStyle name="Note" xfId="5" xr:uid="{00000000-0005-0000-0000-00000A000000}"/>
    <cellStyle name="Standard" xfId="0" builtinId="0"/>
    <cellStyle name="Status" xfId="8" xr:uid="{00000000-0005-0000-0000-00000D000000}"/>
    <cellStyle name="Text" xfId="4" xr:uid="{00000000-0005-0000-0000-000009000000}"/>
    <cellStyle name="Warning" xfId="12" xr:uid="{00000000-0005-0000-0000-000011000000}"/>
  </cellStyles>
  <dxfs count="30">
    <dxf>
      <font>
        <b/>
        <i val="0"/>
        <sz val="10"/>
        <color rgb="FF000000"/>
      </font>
    </dxf>
    <dxf>
      <font>
        <b/>
        <i val="0"/>
        <sz val="10"/>
        <color rgb="FFFFFFFF"/>
      </font>
      <fill>
        <patternFill>
          <bgColor rgb="FFCC0000"/>
        </patternFill>
      </fill>
    </dxf>
    <dxf>
      <font>
        <b val="0"/>
        <i val="0"/>
        <sz val="10"/>
        <color rgb="FF006600"/>
      </font>
      <fill>
        <patternFill>
          <bgColor rgb="FFCCFFCC"/>
        </patternFill>
      </fill>
    </dxf>
    <dxf>
      <font>
        <b/>
        <i val="0"/>
        <sz val="10"/>
        <color rgb="FF000000"/>
      </font>
    </dxf>
    <dxf>
      <font>
        <b/>
        <i val="0"/>
        <sz val="10"/>
        <color rgb="FFFFFFFF"/>
      </font>
      <fill>
        <patternFill>
          <bgColor rgb="FFCC0000"/>
        </patternFill>
      </fill>
    </dxf>
    <dxf>
      <font>
        <b val="0"/>
        <i val="0"/>
        <sz val="10"/>
        <color rgb="FF006600"/>
      </font>
      <fill>
        <patternFill>
          <bgColor rgb="FFCCFFCC"/>
        </patternFill>
      </fill>
    </dxf>
    <dxf>
      <font>
        <b/>
        <i val="0"/>
        <sz val="10"/>
        <color rgb="FF000000"/>
      </font>
    </dxf>
    <dxf>
      <font>
        <b/>
        <i val="0"/>
        <sz val="10"/>
        <color rgb="FFFFFFFF"/>
      </font>
      <fill>
        <patternFill>
          <bgColor rgb="FFCC0000"/>
        </patternFill>
      </fill>
    </dxf>
    <dxf>
      <font>
        <b val="0"/>
        <i val="0"/>
        <sz val="10"/>
        <color rgb="FF006600"/>
      </font>
      <fill>
        <patternFill>
          <bgColor rgb="FFCCFFCC"/>
        </patternFill>
      </fill>
    </dxf>
    <dxf>
      <font>
        <b/>
        <i val="0"/>
        <sz val="10"/>
        <color rgb="FF000000"/>
      </font>
    </dxf>
    <dxf>
      <font>
        <b/>
        <i val="0"/>
        <sz val="10"/>
        <color rgb="FFFFFFFF"/>
      </font>
      <fill>
        <patternFill>
          <bgColor rgb="FFCC0000"/>
        </patternFill>
      </fill>
    </dxf>
    <dxf>
      <font>
        <b val="0"/>
        <i val="0"/>
        <sz val="10"/>
        <color rgb="FF006600"/>
      </font>
      <fill>
        <patternFill>
          <bgColor rgb="FFCCFFCC"/>
        </patternFill>
      </fill>
    </dxf>
    <dxf>
      <font>
        <b/>
        <i val="0"/>
        <sz val="10"/>
        <color rgb="FF000000"/>
      </font>
    </dxf>
    <dxf>
      <font>
        <b/>
        <i val="0"/>
        <sz val="10"/>
        <color rgb="FFFFFFFF"/>
      </font>
      <fill>
        <patternFill>
          <bgColor rgb="FFCC0000"/>
        </patternFill>
      </fill>
    </dxf>
    <dxf>
      <font>
        <b val="0"/>
        <i val="0"/>
        <sz val="10"/>
        <color rgb="FF006600"/>
      </font>
      <fill>
        <patternFill>
          <bgColor rgb="FFCCFFCC"/>
        </patternFill>
      </fill>
    </dxf>
    <dxf>
      <font>
        <b/>
        <i val="0"/>
        <sz val="10"/>
        <color rgb="FF000000"/>
      </font>
    </dxf>
    <dxf>
      <font>
        <b/>
        <i val="0"/>
        <sz val="10"/>
        <color rgb="FFFFFFFF"/>
      </font>
      <fill>
        <patternFill>
          <bgColor rgb="FFCC0000"/>
        </patternFill>
      </fill>
    </dxf>
    <dxf>
      <font>
        <b val="0"/>
        <i val="0"/>
        <sz val="10"/>
        <color rgb="FF006600"/>
      </font>
      <fill>
        <patternFill>
          <bgColor rgb="FFCCFFCC"/>
        </patternFill>
      </fill>
    </dxf>
    <dxf>
      <font>
        <b/>
        <i val="0"/>
        <sz val="10"/>
        <color rgb="FF000000"/>
      </font>
    </dxf>
    <dxf>
      <font>
        <b/>
        <i val="0"/>
        <sz val="10"/>
        <color rgb="FFFFFFFF"/>
      </font>
      <fill>
        <patternFill>
          <bgColor rgb="FFCC0000"/>
        </patternFill>
      </fill>
    </dxf>
    <dxf>
      <font>
        <b val="0"/>
        <i val="0"/>
        <sz val="10"/>
        <color rgb="FF006600"/>
      </font>
      <fill>
        <patternFill>
          <bgColor rgb="FFCCFFCC"/>
        </patternFill>
      </fill>
    </dxf>
    <dxf>
      <font>
        <b/>
        <i val="0"/>
        <sz val="10"/>
        <color rgb="FF000000"/>
      </font>
    </dxf>
    <dxf>
      <font>
        <b/>
        <i val="0"/>
        <sz val="10"/>
        <color rgb="FFFFFFFF"/>
      </font>
      <fill>
        <patternFill>
          <bgColor rgb="FFCC0000"/>
        </patternFill>
      </fill>
    </dxf>
    <dxf>
      <font>
        <b val="0"/>
        <i val="0"/>
        <sz val="10"/>
        <color rgb="FF006600"/>
      </font>
      <fill>
        <patternFill>
          <bgColor rgb="FFCCFFCC"/>
        </patternFill>
      </fill>
    </dxf>
    <dxf>
      <font>
        <b/>
        <i val="0"/>
        <sz val="10"/>
        <color rgb="FF000000"/>
      </font>
    </dxf>
    <dxf>
      <font>
        <b/>
        <i val="0"/>
        <sz val="10"/>
        <color rgb="FFFFFFFF"/>
      </font>
      <fill>
        <patternFill>
          <bgColor rgb="FFCC0000"/>
        </patternFill>
      </fill>
    </dxf>
    <dxf>
      <font>
        <b val="0"/>
        <i val="0"/>
        <sz val="10"/>
        <color rgb="FF006600"/>
      </font>
      <fill>
        <patternFill>
          <bgColor rgb="FFCCFFCC"/>
        </patternFill>
      </fill>
    </dxf>
    <dxf>
      <font>
        <b/>
        <i val="0"/>
        <sz val="10"/>
        <color rgb="FF000000"/>
      </font>
    </dxf>
    <dxf>
      <font>
        <b/>
        <i val="0"/>
        <sz val="10"/>
        <color rgb="FFFFFFFF"/>
      </font>
      <fill>
        <patternFill>
          <bgColor rgb="FFCC0000"/>
        </patternFill>
      </fill>
    </dxf>
    <dxf>
      <font>
        <b val="0"/>
        <i val="0"/>
        <sz val="10"/>
        <color rgb="FF006600"/>
      </font>
      <fill>
        <patternFill>
          <bgColor rgb="FFCCFFC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B4C7DC"/>
      <rgbColor rgb="FF808080"/>
      <rgbColor rgb="FF9999FF"/>
      <rgbColor rgb="FF993366"/>
      <rgbColor rgb="FFFFFFCC"/>
      <rgbColor rgb="FFDEE7E5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81D41A"/>
      <rgbColor rgb="FFFFCC00"/>
      <rgbColor rgb="FFFF9900"/>
      <rgbColor rgb="FFFF4000"/>
      <rgbColor rgb="FF666666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4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425258</xdr:colOff>
      <xdr:row>3</xdr:row>
      <xdr:rowOff>65725</xdr:rowOff>
    </xdr:from>
    <xdr:to>
      <xdr:col>8</xdr:col>
      <xdr:colOff>605978</xdr:colOff>
      <xdr:row>10</xdr:row>
      <xdr:rowOff>135614</xdr:rowOff>
    </xdr:to>
    <xdr:pic>
      <xdr:nvPicPr>
        <xdr:cNvPr id="3" name="Bild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397183" y="551500"/>
          <a:ext cx="2342895" cy="1203364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366480</xdr:colOff>
      <xdr:row>3</xdr:row>
      <xdr:rowOff>56985</xdr:rowOff>
    </xdr:from>
    <xdr:to>
      <xdr:col>4</xdr:col>
      <xdr:colOff>683640</xdr:colOff>
      <xdr:row>10</xdr:row>
      <xdr:rowOff>118905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38005" y="542760"/>
          <a:ext cx="2345985" cy="1195395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9</xdr:col>
      <xdr:colOff>417026</xdr:colOff>
      <xdr:row>3</xdr:row>
      <xdr:rowOff>48705</xdr:rowOff>
    </xdr:from>
    <xdr:to>
      <xdr:col>12</xdr:col>
      <xdr:colOff>592148</xdr:colOff>
      <xdr:row>10</xdr:row>
      <xdr:rowOff>110625</xdr:rowOff>
    </xdr:to>
    <xdr:pic>
      <xdr:nvPicPr>
        <xdr:cNvPr id="4" name="Bild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846526" y="534480"/>
          <a:ext cx="2346822" cy="1195395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4</xdr:col>
      <xdr:colOff>179640</xdr:colOff>
      <xdr:row>10</xdr:row>
      <xdr:rowOff>114645</xdr:rowOff>
    </xdr:from>
    <xdr:to>
      <xdr:col>4</xdr:col>
      <xdr:colOff>684000</xdr:colOff>
      <xdr:row>16</xdr:row>
      <xdr:rowOff>16365</xdr:rowOff>
    </xdr:to>
    <xdr:pic>
      <xdr:nvPicPr>
        <xdr:cNvPr id="5" name="Bild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979990" y="1733895"/>
          <a:ext cx="504360" cy="806595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8</xdr:col>
      <xdr:colOff>68040</xdr:colOff>
      <xdr:row>10</xdr:row>
      <xdr:rowOff>86565</xdr:rowOff>
    </xdr:from>
    <xdr:to>
      <xdr:col>8</xdr:col>
      <xdr:colOff>572400</xdr:colOff>
      <xdr:row>15</xdr:row>
      <xdr:rowOff>151005</xdr:rowOff>
    </xdr:to>
    <xdr:pic>
      <xdr:nvPicPr>
        <xdr:cNvPr id="6" name="Bild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202140" y="1705815"/>
          <a:ext cx="504360" cy="80739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12</xdr:col>
      <xdr:colOff>176400</xdr:colOff>
      <xdr:row>10</xdr:row>
      <xdr:rowOff>95925</xdr:rowOff>
    </xdr:from>
    <xdr:to>
      <xdr:col>12</xdr:col>
      <xdr:colOff>680760</xdr:colOff>
      <xdr:row>15</xdr:row>
      <xdr:rowOff>160365</xdr:rowOff>
    </xdr:to>
    <xdr:pic>
      <xdr:nvPicPr>
        <xdr:cNvPr id="7" name="Bild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777600" y="1715175"/>
          <a:ext cx="504360" cy="80739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6</xdr:col>
      <xdr:colOff>57600</xdr:colOff>
      <xdr:row>20</xdr:row>
      <xdr:rowOff>77565</xdr:rowOff>
    </xdr:from>
    <xdr:to>
      <xdr:col>11</xdr:col>
      <xdr:colOff>227520</xdr:colOff>
      <xdr:row>22</xdr:row>
      <xdr:rowOff>160005</xdr:rowOff>
    </xdr:to>
    <xdr:pic>
      <xdr:nvPicPr>
        <xdr:cNvPr id="8" name="Bild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01050" y="3249390"/>
          <a:ext cx="3808470" cy="40629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6</xdr:col>
      <xdr:colOff>129600</xdr:colOff>
      <xdr:row>25</xdr:row>
      <xdr:rowOff>49125</xdr:rowOff>
    </xdr:from>
    <xdr:to>
      <xdr:col>7</xdr:col>
      <xdr:colOff>952560</xdr:colOff>
      <xdr:row>36</xdr:row>
      <xdr:rowOff>139260</xdr:rowOff>
    </xdr:to>
    <xdr:pic>
      <xdr:nvPicPr>
        <xdr:cNvPr id="16" name="Bild 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873050" y="4030575"/>
          <a:ext cx="994410" cy="187131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48307</xdr:colOff>
      <xdr:row>36</xdr:row>
      <xdr:rowOff>29629</xdr:rowOff>
    </xdr:from>
    <xdr:to>
      <xdr:col>3</xdr:col>
      <xdr:colOff>322694</xdr:colOff>
      <xdr:row>41</xdr:row>
      <xdr:rowOff>97286</xdr:rowOff>
    </xdr:to>
    <xdr:pic>
      <xdr:nvPicPr>
        <xdr:cNvPr id="18" name="Bild 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819832" y="5792254"/>
          <a:ext cx="1084012" cy="915382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5</xdr:col>
      <xdr:colOff>644760</xdr:colOff>
      <xdr:row>44</xdr:row>
      <xdr:rowOff>41400</xdr:rowOff>
    </xdr:from>
    <xdr:to>
      <xdr:col>7</xdr:col>
      <xdr:colOff>1045440</xdr:colOff>
      <xdr:row>52</xdr:row>
      <xdr:rowOff>150120</xdr:rowOff>
    </xdr:to>
    <xdr:pic>
      <xdr:nvPicPr>
        <xdr:cNvPr id="19" name="Bild 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16685" y="7137525"/>
          <a:ext cx="1343655" cy="14041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333375</xdr:colOff>
      <xdr:row>34</xdr:row>
      <xdr:rowOff>76200</xdr:rowOff>
    </xdr:from>
    <xdr:to>
      <xdr:col>6</xdr:col>
      <xdr:colOff>123825</xdr:colOff>
      <xdr:row>36</xdr:row>
      <xdr:rowOff>123824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 flipV="1">
          <a:off x="1914525" y="5514975"/>
          <a:ext cx="2952750" cy="371474"/>
        </a:xfrm>
        <a:prstGeom prst="line">
          <a:avLst/>
        </a:prstGeom>
        <a:ln>
          <a:solidFill>
            <a:srgbClr val="3465A4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7</xdr:col>
      <xdr:colOff>41760</xdr:colOff>
      <xdr:row>37</xdr:row>
      <xdr:rowOff>117855</xdr:rowOff>
    </xdr:from>
    <xdr:to>
      <xdr:col>7</xdr:col>
      <xdr:colOff>61200</xdr:colOff>
      <xdr:row>46</xdr:row>
      <xdr:rowOff>79755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4961142" y="5882721"/>
          <a:ext cx="19440" cy="1411941"/>
        </a:xfrm>
        <a:prstGeom prst="line">
          <a:avLst/>
        </a:prstGeom>
        <a:ln>
          <a:solidFill>
            <a:srgbClr val="3465A4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1143000</xdr:colOff>
      <xdr:row>59</xdr:row>
      <xdr:rowOff>9525</xdr:rowOff>
    </xdr:to>
    <xdr:sp macro="" textlink="">
      <xdr:nvSpPr>
        <xdr:cNvPr id="1032" name="_x0000_t202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1143000</xdr:colOff>
      <xdr:row>59</xdr:row>
      <xdr:rowOff>9525</xdr:rowOff>
    </xdr:to>
    <xdr:sp macro="" textlink="">
      <xdr:nvSpPr>
        <xdr:cNvPr id="1030" name="_x0000_t202" hidden="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1143000</xdr:colOff>
      <xdr:row>59</xdr:row>
      <xdr:rowOff>9525</xdr:rowOff>
    </xdr:to>
    <xdr:sp macro="" textlink="">
      <xdr:nvSpPr>
        <xdr:cNvPr id="1028" name="_x0000_t202" hidden="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1143000</xdr:colOff>
      <xdr:row>59</xdr:row>
      <xdr:rowOff>9525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1143000</xdr:colOff>
      <xdr:row>59</xdr:row>
      <xdr:rowOff>9525</xdr:rowOff>
    </xdr:to>
    <xdr:sp macro="" textlink="">
      <xdr:nvSpPr>
        <xdr:cNvPr id="22" name="AutoShape 8">
          <a:extLst>
            <a:ext uri="{FF2B5EF4-FFF2-40B4-BE49-F238E27FC236}">
              <a16:creationId xmlns:a16="http://schemas.microsoft.com/office/drawing/2014/main" id="{7934F55D-C50A-4D86-B84B-09AC8A79255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1143000</xdr:colOff>
      <xdr:row>59</xdr:row>
      <xdr:rowOff>9525</xdr:rowOff>
    </xdr:to>
    <xdr:sp macro="" textlink="">
      <xdr:nvSpPr>
        <xdr:cNvPr id="23" name="AutoShape 6">
          <a:extLst>
            <a:ext uri="{FF2B5EF4-FFF2-40B4-BE49-F238E27FC236}">
              <a16:creationId xmlns:a16="http://schemas.microsoft.com/office/drawing/2014/main" id="{7435DE01-5077-4D0F-9D7C-15897DB2375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1143000</xdr:colOff>
      <xdr:row>59</xdr:row>
      <xdr:rowOff>9525</xdr:rowOff>
    </xdr:to>
    <xdr:sp macro="" textlink="">
      <xdr:nvSpPr>
        <xdr:cNvPr id="24" name="AutoShape 4">
          <a:extLst>
            <a:ext uri="{FF2B5EF4-FFF2-40B4-BE49-F238E27FC236}">
              <a16:creationId xmlns:a16="http://schemas.microsoft.com/office/drawing/2014/main" id="{8140A140-D386-4504-9BB8-E99AF984473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1143000</xdr:colOff>
      <xdr:row>59</xdr:row>
      <xdr:rowOff>9525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15C81CC5-AC4B-4D75-ACEA-BA93EAADCA3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1143000</xdr:colOff>
      <xdr:row>59</xdr:row>
      <xdr:rowOff>9525</xdr:rowOff>
    </xdr:to>
    <xdr:sp macro="" textlink="">
      <xdr:nvSpPr>
        <xdr:cNvPr id="26" name="AutoShape 8">
          <a:extLst>
            <a:ext uri="{FF2B5EF4-FFF2-40B4-BE49-F238E27FC236}">
              <a16:creationId xmlns:a16="http://schemas.microsoft.com/office/drawing/2014/main" id="{3025089B-84BF-45B7-B1EC-95CFC781629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1143000</xdr:colOff>
      <xdr:row>59</xdr:row>
      <xdr:rowOff>9525</xdr:rowOff>
    </xdr:to>
    <xdr:sp macro="" textlink="">
      <xdr:nvSpPr>
        <xdr:cNvPr id="27" name="AutoShape 6">
          <a:extLst>
            <a:ext uri="{FF2B5EF4-FFF2-40B4-BE49-F238E27FC236}">
              <a16:creationId xmlns:a16="http://schemas.microsoft.com/office/drawing/2014/main" id="{715E9501-1F15-42BE-A600-C5542837B88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1143000</xdr:colOff>
      <xdr:row>59</xdr:row>
      <xdr:rowOff>9525</xdr:rowOff>
    </xdr:to>
    <xdr:sp macro="" textlink="">
      <xdr:nvSpPr>
        <xdr:cNvPr id="28" name="AutoShape 4">
          <a:extLst>
            <a:ext uri="{FF2B5EF4-FFF2-40B4-BE49-F238E27FC236}">
              <a16:creationId xmlns:a16="http://schemas.microsoft.com/office/drawing/2014/main" id="{24CB5678-00E2-44CF-9378-811F8560A0A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1143000</xdr:colOff>
      <xdr:row>59</xdr:row>
      <xdr:rowOff>9525</xdr:rowOff>
    </xdr:to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DF45656B-00D6-46A8-8D51-975CA3B954B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431821</xdr:colOff>
      <xdr:row>16</xdr:row>
      <xdr:rowOff>16364</xdr:rowOff>
    </xdr:from>
    <xdr:to>
      <xdr:col>7</xdr:col>
      <xdr:colOff>1</xdr:colOff>
      <xdr:row>20</xdr:row>
      <xdr:rowOff>152399</xdr:rowOff>
    </xdr:to>
    <xdr:cxnSp macro="">
      <xdr:nvCxnSpPr>
        <xdr:cNvPr id="31" name="Verbinder: gewinkelt 30">
          <a:extLst>
            <a:ext uri="{FF2B5EF4-FFF2-40B4-BE49-F238E27FC236}">
              <a16:creationId xmlns:a16="http://schemas.microsoft.com/office/drawing/2014/main" id="{7D084DCC-9129-4D41-96F1-4E54596F1117}"/>
            </a:ext>
          </a:extLst>
        </xdr:cNvPr>
        <xdr:cNvCxnSpPr>
          <a:stCxn id="5" idx="2"/>
        </xdr:cNvCxnSpPr>
      </xdr:nvCxnSpPr>
      <xdr:spPr>
        <a:xfrm rot="16200000" flipH="1">
          <a:off x="3681668" y="2090992"/>
          <a:ext cx="783735" cy="1682730"/>
        </a:xfrm>
        <a:prstGeom prst="bentConnector2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320220</xdr:colOff>
      <xdr:row>15</xdr:row>
      <xdr:rowOff>151004</xdr:rowOff>
    </xdr:from>
    <xdr:to>
      <xdr:col>8</xdr:col>
      <xdr:colOff>571185</xdr:colOff>
      <xdr:row>20</xdr:row>
      <xdr:rowOff>77564</xdr:rowOff>
    </xdr:to>
    <xdr:cxnSp macro="">
      <xdr:nvCxnSpPr>
        <xdr:cNvPr id="1025" name="Verbinder: gewinkelt 1024">
          <a:extLst>
            <a:ext uri="{FF2B5EF4-FFF2-40B4-BE49-F238E27FC236}">
              <a16:creationId xmlns:a16="http://schemas.microsoft.com/office/drawing/2014/main" id="{A91C4EAE-C0B7-466C-B7B9-55F4920403EB}"/>
            </a:ext>
          </a:extLst>
        </xdr:cNvPr>
        <xdr:cNvCxnSpPr>
          <a:stCxn id="6" idx="2"/>
          <a:endCxn id="8" idx="0"/>
        </xdr:cNvCxnSpPr>
      </xdr:nvCxnSpPr>
      <xdr:spPr>
        <a:xfrm rot="16200000" flipH="1">
          <a:off x="6211710" y="2755814"/>
          <a:ext cx="736185" cy="250965"/>
        </a:xfrm>
        <a:prstGeom prst="bentConnector3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227520</xdr:colOff>
      <xdr:row>15</xdr:row>
      <xdr:rowOff>160365</xdr:rowOff>
    </xdr:from>
    <xdr:to>
      <xdr:col>12</xdr:col>
      <xdr:colOff>428580</xdr:colOff>
      <xdr:row>21</xdr:row>
      <xdr:rowOff>118785</xdr:rowOff>
    </xdr:to>
    <xdr:cxnSp macro="">
      <xdr:nvCxnSpPr>
        <xdr:cNvPr id="1029" name="Verbinder: gewinkelt 1028">
          <a:extLst>
            <a:ext uri="{FF2B5EF4-FFF2-40B4-BE49-F238E27FC236}">
              <a16:creationId xmlns:a16="http://schemas.microsoft.com/office/drawing/2014/main" id="{961B7C09-53EB-4D13-B7D2-8BE32CB0517C}"/>
            </a:ext>
          </a:extLst>
        </xdr:cNvPr>
        <xdr:cNvCxnSpPr>
          <a:stCxn id="7" idx="2"/>
          <a:endCxn id="8" idx="3"/>
        </xdr:cNvCxnSpPr>
      </xdr:nvCxnSpPr>
      <xdr:spPr>
        <a:xfrm rot="5400000">
          <a:off x="8854665" y="2277420"/>
          <a:ext cx="929970" cy="1420260"/>
        </a:xfrm>
        <a:prstGeom prst="bentConnector2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840442</xdr:colOff>
      <xdr:row>22</xdr:row>
      <xdr:rowOff>123267</xdr:rowOff>
    </xdr:from>
    <xdr:to>
      <xdr:col>7</xdr:col>
      <xdr:colOff>1120589</xdr:colOff>
      <xdr:row>36</xdr:row>
      <xdr:rowOff>78442</xdr:rowOff>
    </xdr:to>
    <xdr:cxnSp macro="">
      <xdr:nvCxnSpPr>
        <xdr:cNvPr id="1033" name="Verbinder: gewinkelt 1032">
          <a:extLst>
            <a:ext uri="{FF2B5EF4-FFF2-40B4-BE49-F238E27FC236}">
              <a16:creationId xmlns:a16="http://schemas.microsoft.com/office/drawing/2014/main" id="{0CFE71AF-7267-4020-A811-E855A3551C30}"/>
            </a:ext>
          </a:extLst>
        </xdr:cNvPr>
        <xdr:cNvCxnSpPr/>
      </xdr:nvCxnSpPr>
      <xdr:spPr>
        <a:xfrm rot="5400000" flipH="1" flipV="1">
          <a:off x="4880163" y="4712075"/>
          <a:ext cx="2039469" cy="280147"/>
        </a:xfrm>
        <a:prstGeom prst="bentConnector3">
          <a:avLst>
            <a:gd name="adj1" fmla="val -1099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695328</xdr:colOff>
      <xdr:row>47</xdr:row>
      <xdr:rowOff>95253</xdr:rowOff>
    </xdr:from>
    <xdr:to>
      <xdr:col>0</xdr:col>
      <xdr:colOff>723901</xdr:colOff>
      <xdr:row>58</xdr:row>
      <xdr:rowOff>95254</xdr:rowOff>
    </xdr:to>
    <xdr:cxnSp macro="">
      <xdr:nvCxnSpPr>
        <xdr:cNvPr id="1024" name="Verbinder: gewinkelt 1023">
          <a:extLst>
            <a:ext uri="{FF2B5EF4-FFF2-40B4-BE49-F238E27FC236}">
              <a16:creationId xmlns:a16="http://schemas.microsoft.com/office/drawing/2014/main" id="{FE25B93F-B837-47BA-815E-BB5597A36C34}"/>
            </a:ext>
          </a:extLst>
        </xdr:cNvPr>
        <xdr:cNvCxnSpPr/>
      </xdr:nvCxnSpPr>
      <xdr:spPr>
        <a:xfrm rot="5400000">
          <a:off x="-180973" y="8743954"/>
          <a:ext cx="1781176" cy="28573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590314</xdr:colOff>
      <xdr:row>21</xdr:row>
      <xdr:rowOff>118785</xdr:rowOff>
    </xdr:from>
    <xdr:to>
      <xdr:col>6</xdr:col>
      <xdr:colOff>57601</xdr:colOff>
      <xdr:row>36</xdr:row>
      <xdr:rowOff>29629</xdr:rowOff>
    </xdr:to>
    <xdr:cxnSp macro="">
      <xdr:nvCxnSpPr>
        <xdr:cNvPr id="32" name="Verbinder: gewinkelt 31">
          <a:extLst>
            <a:ext uri="{FF2B5EF4-FFF2-40B4-BE49-F238E27FC236}">
              <a16:creationId xmlns:a16="http://schemas.microsoft.com/office/drawing/2014/main" id="{8B92F5C3-975D-4A46-97EF-A1C1C6D327E3}"/>
            </a:ext>
          </a:extLst>
        </xdr:cNvPr>
        <xdr:cNvCxnSpPr>
          <a:stCxn id="18" idx="0"/>
          <a:endCxn id="8" idx="1"/>
        </xdr:cNvCxnSpPr>
      </xdr:nvCxnSpPr>
      <xdr:spPr>
        <a:xfrm rot="5400000" flipH="1" flipV="1">
          <a:off x="1911585" y="2902789"/>
          <a:ext cx="2339719" cy="3439212"/>
        </a:xfrm>
        <a:prstGeom prst="bentConnector2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542921</xdr:colOff>
      <xdr:row>42</xdr:row>
      <xdr:rowOff>9525</xdr:rowOff>
    </xdr:from>
    <xdr:to>
      <xdr:col>0</xdr:col>
      <xdr:colOff>546100</xdr:colOff>
      <xdr:row>60</xdr:row>
      <xdr:rowOff>101599</xdr:rowOff>
    </xdr:to>
    <xdr:cxnSp macro="">
      <xdr:nvCxnSpPr>
        <xdr:cNvPr id="42" name="Verbinder: gewinkelt 41">
          <a:extLst>
            <a:ext uri="{FF2B5EF4-FFF2-40B4-BE49-F238E27FC236}">
              <a16:creationId xmlns:a16="http://schemas.microsoft.com/office/drawing/2014/main" id="{2F418E63-C88D-4AFE-B4B1-FEBAE035527A}"/>
            </a:ext>
          </a:extLst>
        </xdr:cNvPr>
        <xdr:cNvCxnSpPr/>
      </xdr:nvCxnSpPr>
      <xdr:spPr>
        <a:xfrm rot="16200000" flipH="1">
          <a:off x="-958851" y="8474072"/>
          <a:ext cx="3006724" cy="3179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</xdr:colOff>
      <xdr:row>23</xdr:row>
      <xdr:rowOff>28575</xdr:rowOff>
    </xdr:from>
    <xdr:to>
      <xdr:col>2</xdr:col>
      <xdr:colOff>533400</xdr:colOff>
      <xdr:row>25</xdr:row>
      <xdr:rowOff>0</xdr:rowOff>
    </xdr:to>
    <xdr:sp macro="" textlink="">
      <xdr:nvSpPr>
        <xdr:cNvPr id="3" name="Pfeil: nach rechts 2">
          <a:extLst>
            <a:ext uri="{FF2B5EF4-FFF2-40B4-BE49-F238E27FC236}">
              <a16:creationId xmlns:a16="http://schemas.microsoft.com/office/drawing/2014/main" id="{768C4375-A859-44B4-957E-C06035119671}"/>
            </a:ext>
          </a:extLst>
        </xdr:cNvPr>
        <xdr:cNvSpPr/>
      </xdr:nvSpPr>
      <xdr:spPr>
        <a:xfrm>
          <a:off x="5534025" y="2981325"/>
          <a:ext cx="409575" cy="2190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2</xdr:col>
      <xdr:colOff>123825</xdr:colOff>
      <xdr:row>54</xdr:row>
      <xdr:rowOff>28575</xdr:rowOff>
    </xdr:from>
    <xdr:to>
      <xdr:col>2</xdr:col>
      <xdr:colOff>533400</xdr:colOff>
      <xdr:row>56</xdr:row>
      <xdr:rowOff>0</xdr:rowOff>
    </xdr:to>
    <xdr:sp macro="" textlink="">
      <xdr:nvSpPr>
        <xdr:cNvPr id="5" name="Pfeil: nach rechts 4">
          <a:extLst>
            <a:ext uri="{FF2B5EF4-FFF2-40B4-BE49-F238E27FC236}">
              <a16:creationId xmlns:a16="http://schemas.microsoft.com/office/drawing/2014/main" id="{E978A8D8-F478-4BD1-8967-1697AC6ED0BC}"/>
            </a:ext>
          </a:extLst>
        </xdr:cNvPr>
        <xdr:cNvSpPr/>
      </xdr:nvSpPr>
      <xdr:spPr>
        <a:xfrm>
          <a:off x="5534025" y="2981325"/>
          <a:ext cx="409575" cy="2190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2</xdr:col>
      <xdr:colOff>123825</xdr:colOff>
      <xdr:row>83</xdr:row>
      <xdr:rowOff>28575</xdr:rowOff>
    </xdr:from>
    <xdr:to>
      <xdr:col>2</xdr:col>
      <xdr:colOff>533400</xdr:colOff>
      <xdr:row>85</xdr:row>
      <xdr:rowOff>0</xdr:rowOff>
    </xdr:to>
    <xdr:sp macro="" textlink="">
      <xdr:nvSpPr>
        <xdr:cNvPr id="6" name="Pfeil: nach rechts 5">
          <a:extLst>
            <a:ext uri="{FF2B5EF4-FFF2-40B4-BE49-F238E27FC236}">
              <a16:creationId xmlns:a16="http://schemas.microsoft.com/office/drawing/2014/main" id="{47836A97-6339-44CC-A28F-E4864A26CCA1}"/>
            </a:ext>
          </a:extLst>
        </xdr:cNvPr>
        <xdr:cNvSpPr/>
      </xdr:nvSpPr>
      <xdr:spPr>
        <a:xfrm>
          <a:off x="5534025" y="2981325"/>
          <a:ext cx="409575" cy="2190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2</xdr:col>
      <xdr:colOff>123825</xdr:colOff>
      <xdr:row>103</xdr:row>
      <xdr:rowOff>28575</xdr:rowOff>
    </xdr:from>
    <xdr:to>
      <xdr:col>2</xdr:col>
      <xdr:colOff>533400</xdr:colOff>
      <xdr:row>105</xdr:row>
      <xdr:rowOff>0</xdr:rowOff>
    </xdr:to>
    <xdr:sp macro="" textlink="">
      <xdr:nvSpPr>
        <xdr:cNvPr id="7" name="Pfeil: nach rechts 6">
          <a:extLst>
            <a:ext uri="{FF2B5EF4-FFF2-40B4-BE49-F238E27FC236}">
              <a16:creationId xmlns:a16="http://schemas.microsoft.com/office/drawing/2014/main" id="{17551CD9-62AC-4614-8F76-1F4AB8E9431A}"/>
            </a:ext>
          </a:extLst>
        </xdr:cNvPr>
        <xdr:cNvSpPr/>
      </xdr:nvSpPr>
      <xdr:spPr>
        <a:xfrm>
          <a:off x="5534025" y="2981325"/>
          <a:ext cx="409575" cy="2190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 editAs="oneCell">
    <xdr:from>
      <xdr:col>2</xdr:col>
      <xdr:colOff>638175</xdr:colOff>
      <xdr:row>3</xdr:row>
      <xdr:rowOff>28575</xdr:rowOff>
    </xdr:from>
    <xdr:to>
      <xdr:col>11</xdr:col>
      <xdr:colOff>219902</xdr:colOff>
      <xdr:row>43</xdr:row>
      <xdr:rowOff>115019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3C7AC663-7AB8-4FBC-AFEB-FBFAF620B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48375" y="504825"/>
          <a:ext cx="5925377" cy="5153744"/>
        </a:xfrm>
        <a:prstGeom prst="rect">
          <a:avLst/>
        </a:prstGeom>
      </xdr:spPr>
    </xdr:pic>
    <xdr:clientData/>
  </xdr:twoCellAnchor>
  <xdr:twoCellAnchor>
    <xdr:from>
      <xdr:col>8</xdr:col>
      <xdr:colOff>247649</xdr:colOff>
      <xdr:row>40</xdr:row>
      <xdr:rowOff>76200</xdr:rowOff>
    </xdr:from>
    <xdr:to>
      <xdr:col>9</xdr:col>
      <xdr:colOff>590549</xdr:colOff>
      <xdr:row>43</xdr:row>
      <xdr:rowOff>47625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18563039-96D2-4DA9-A2EF-FAB976CE5A5C}"/>
            </a:ext>
          </a:extLst>
        </xdr:cNvPr>
        <xdr:cNvSpPr/>
      </xdr:nvSpPr>
      <xdr:spPr>
        <a:xfrm>
          <a:off x="9686924" y="5210175"/>
          <a:ext cx="1114425" cy="381000"/>
        </a:xfrm>
        <a:prstGeom prst="rect">
          <a:avLst/>
        </a:prstGeom>
        <a:noFill/>
        <a:ln w="285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 editAs="oneCell">
    <xdr:from>
      <xdr:col>2</xdr:col>
      <xdr:colOff>628650</xdr:colOff>
      <xdr:row>51</xdr:row>
      <xdr:rowOff>28575</xdr:rowOff>
    </xdr:from>
    <xdr:to>
      <xdr:col>11</xdr:col>
      <xdr:colOff>210377</xdr:colOff>
      <xdr:row>66</xdr:row>
      <xdr:rowOff>104775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310E0AC6-9162-4496-8107-7AC01C2A12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62482"/>
        <a:stretch/>
      </xdr:blipFill>
      <xdr:spPr>
        <a:xfrm>
          <a:off x="6038850" y="6562725"/>
          <a:ext cx="5925377" cy="1933575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638175</xdr:colOff>
      <xdr:row>75</xdr:row>
      <xdr:rowOff>28575</xdr:rowOff>
    </xdr:from>
    <xdr:to>
      <xdr:col>11</xdr:col>
      <xdr:colOff>219902</xdr:colOff>
      <xdr:row>90</xdr:row>
      <xdr:rowOff>104775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47EC5A88-1D3A-42FE-A286-488A936CF1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62482"/>
        <a:stretch/>
      </xdr:blipFill>
      <xdr:spPr>
        <a:xfrm>
          <a:off x="6048375" y="9572625"/>
          <a:ext cx="5925377" cy="1933575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638175</xdr:colOff>
      <xdr:row>94</xdr:row>
      <xdr:rowOff>28575</xdr:rowOff>
    </xdr:from>
    <xdr:to>
      <xdr:col>11</xdr:col>
      <xdr:colOff>219902</xdr:colOff>
      <xdr:row>109</xdr:row>
      <xdr:rowOff>104775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6B602C65-E7E8-4C07-8A12-5E0CD5FC40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62482"/>
        <a:stretch/>
      </xdr:blipFill>
      <xdr:spPr>
        <a:xfrm>
          <a:off x="6048375" y="11906250"/>
          <a:ext cx="5925377" cy="1933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</xdr:colOff>
      <xdr:row>14</xdr:row>
      <xdr:rowOff>28575</xdr:rowOff>
    </xdr:from>
    <xdr:to>
      <xdr:col>2</xdr:col>
      <xdr:colOff>533400</xdr:colOff>
      <xdr:row>16</xdr:row>
      <xdr:rowOff>0</xdr:rowOff>
    </xdr:to>
    <xdr:sp macro="" textlink="">
      <xdr:nvSpPr>
        <xdr:cNvPr id="2" name="Pfeil: nach rechts 1">
          <a:extLst>
            <a:ext uri="{FF2B5EF4-FFF2-40B4-BE49-F238E27FC236}">
              <a16:creationId xmlns:a16="http://schemas.microsoft.com/office/drawing/2014/main" id="{1999CBCC-F636-484A-BF76-812CA6176955}"/>
            </a:ext>
          </a:extLst>
        </xdr:cNvPr>
        <xdr:cNvSpPr/>
      </xdr:nvSpPr>
      <xdr:spPr>
        <a:xfrm>
          <a:off x="5534025" y="6934200"/>
          <a:ext cx="409575" cy="2190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2</xdr:col>
      <xdr:colOff>123825</xdr:colOff>
      <xdr:row>42</xdr:row>
      <xdr:rowOff>28575</xdr:rowOff>
    </xdr:from>
    <xdr:to>
      <xdr:col>2</xdr:col>
      <xdr:colOff>533400</xdr:colOff>
      <xdr:row>44</xdr:row>
      <xdr:rowOff>0</xdr:rowOff>
    </xdr:to>
    <xdr:sp macro="" textlink="">
      <xdr:nvSpPr>
        <xdr:cNvPr id="4" name="Pfeil: nach rechts 3">
          <a:extLst>
            <a:ext uri="{FF2B5EF4-FFF2-40B4-BE49-F238E27FC236}">
              <a16:creationId xmlns:a16="http://schemas.microsoft.com/office/drawing/2014/main" id="{61CF146E-CB3A-4D2A-8721-CAF7C79684CA}"/>
            </a:ext>
          </a:extLst>
        </xdr:cNvPr>
        <xdr:cNvSpPr/>
      </xdr:nvSpPr>
      <xdr:spPr>
        <a:xfrm>
          <a:off x="5276850" y="1866900"/>
          <a:ext cx="409575" cy="2190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2</xdr:col>
      <xdr:colOff>123825</xdr:colOff>
      <xdr:row>64</xdr:row>
      <xdr:rowOff>28575</xdr:rowOff>
    </xdr:from>
    <xdr:to>
      <xdr:col>2</xdr:col>
      <xdr:colOff>533400</xdr:colOff>
      <xdr:row>66</xdr:row>
      <xdr:rowOff>0</xdr:rowOff>
    </xdr:to>
    <xdr:sp macro="" textlink="">
      <xdr:nvSpPr>
        <xdr:cNvPr id="5" name="Pfeil: nach rechts 4">
          <a:extLst>
            <a:ext uri="{FF2B5EF4-FFF2-40B4-BE49-F238E27FC236}">
              <a16:creationId xmlns:a16="http://schemas.microsoft.com/office/drawing/2014/main" id="{B4725D9F-05CE-42B4-BB6F-AB68E0C70AD4}"/>
            </a:ext>
          </a:extLst>
        </xdr:cNvPr>
        <xdr:cNvSpPr/>
      </xdr:nvSpPr>
      <xdr:spPr>
        <a:xfrm>
          <a:off x="5276850" y="1866900"/>
          <a:ext cx="409575" cy="2190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2</xdr:col>
      <xdr:colOff>123825</xdr:colOff>
      <xdr:row>92</xdr:row>
      <xdr:rowOff>28575</xdr:rowOff>
    </xdr:from>
    <xdr:to>
      <xdr:col>2</xdr:col>
      <xdr:colOff>533400</xdr:colOff>
      <xdr:row>94</xdr:row>
      <xdr:rowOff>0</xdr:rowOff>
    </xdr:to>
    <xdr:sp macro="" textlink="">
      <xdr:nvSpPr>
        <xdr:cNvPr id="6" name="Pfeil: nach rechts 5">
          <a:extLst>
            <a:ext uri="{FF2B5EF4-FFF2-40B4-BE49-F238E27FC236}">
              <a16:creationId xmlns:a16="http://schemas.microsoft.com/office/drawing/2014/main" id="{8AFC3DF4-D927-4D77-8208-E22562439D9E}"/>
            </a:ext>
          </a:extLst>
        </xdr:cNvPr>
        <xdr:cNvSpPr/>
      </xdr:nvSpPr>
      <xdr:spPr>
        <a:xfrm>
          <a:off x="5276850" y="1866900"/>
          <a:ext cx="409575" cy="2190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 editAs="oneCell">
    <xdr:from>
      <xdr:col>2</xdr:col>
      <xdr:colOff>628650</xdr:colOff>
      <xdr:row>2</xdr:row>
      <xdr:rowOff>57150</xdr:rowOff>
    </xdr:from>
    <xdr:to>
      <xdr:col>11</xdr:col>
      <xdr:colOff>229427</xdr:colOff>
      <xdr:row>17</xdr:row>
      <xdr:rowOff>104775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5EDAA898-7A00-4786-94AA-089B89E37E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62482"/>
        <a:stretch/>
      </xdr:blipFill>
      <xdr:spPr>
        <a:xfrm>
          <a:off x="5781675" y="381000"/>
          <a:ext cx="5925377" cy="1933575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638175</xdr:colOff>
      <xdr:row>35</xdr:row>
      <xdr:rowOff>114300</xdr:rowOff>
    </xdr:from>
    <xdr:to>
      <xdr:col>11</xdr:col>
      <xdr:colOff>238952</xdr:colOff>
      <xdr:row>47</xdr:row>
      <xdr:rowOff>104775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FF1868CB-B54D-428C-8146-4E85A7D117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62482"/>
        <a:stretch/>
      </xdr:blipFill>
      <xdr:spPr>
        <a:xfrm>
          <a:off x="5791200" y="4781550"/>
          <a:ext cx="5925377" cy="1933575"/>
        </a:xfrm>
        <a:prstGeom prst="rect">
          <a:avLst/>
        </a:prstGeom>
      </xdr:spPr>
    </xdr:pic>
    <xdr:clientData/>
  </xdr:twoCellAnchor>
  <xdr:twoCellAnchor editAs="oneCell">
    <xdr:from>
      <xdr:col>2</xdr:col>
      <xdr:colOff>628650</xdr:colOff>
      <xdr:row>57</xdr:row>
      <xdr:rowOff>114300</xdr:rowOff>
    </xdr:from>
    <xdr:to>
      <xdr:col>11</xdr:col>
      <xdr:colOff>229427</xdr:colOff>
      <xdr:row>69</xdr:row>
      <xdr:rowOff>104775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17BD6C43-3B95-4D25-A6CA-0D3EFD183F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62482"/>
        <a:stretch/>
      </xdr:blipFill>
      <xdr:spPr>
        <a:xfrm>
          <a:off x="5781675" y="8343900"/>
          <a:ext cx="5925377" cy="1933575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638175</xdr:colOff>
      <xdr:row>83</xdr:row>
      <xdr:rowOff>28575</xdr:rowOff>
    </xdr:from>
    <xdr:to>
      <xdr:col>11</xdr:col>
      <xdr:colOff>238952</xdr:colOff>
      <xdr:row>98</xdr:row>
      <xdr:rowOff>104775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1BA67D11-0D0C-4BD9-818B-5FFEB289DD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62482"/>
        <a:stretch/>
      </xdr:blipFill>
      <xdr:spPr>
        <a:xfrm>
          <a:off x="5791200" y="12277725"/>
          <a:ext cx="5925377" cy="1933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</xdr:colOff>
      <xdr:row>16</xdr:row>
      <xdr:rowOff>28575</xdr:rowOff>
    </xdr:from>
    <xdr:to>
      <xdr:col>2</xdr:col>
      <xdr:colOff>533400</xdr:colOff>
      <xdr:row>18</xdr:row>
      <xdr:rowOff>0</xdr:rowOff>
    </xdr:to>
    <xdr:sp macro="" textlink="">
      <xdr:nvSpPr>
        <xdr:cNvPr id="2" name="Pfeil: nach rechts 1">
          <a:extLst>
            <a:ext uri="{FF2B5EF4-FFF2-40B4-BE49-F238E27FC236}">
              <a16:creationId xmlns:a16="http://schemas.microsoft.com/office/drawing/2014/main" id="{244A07E6-2426-49E1-AB02-4D82976D0931}"/>
            </a:ext>
          </a:extLst>
        </xdr:cNvPr>
        <xdr:cNvSpPr/>
      </xdr:nvSpPr>
      <xdr:spPr>
        <a:xfrm>
          <a:off x="5276850" y="1866900"/>
          <a:ext cx="409575" cy="2190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 editAs="oneCell">
    <xdr:from>
      <xdr:col>2</xdr:col>
      <xdr:colOff>647700</xdr:colOff>
      <xdr:row>8</xdr:row>
      <xdr:rowOff>28575</xdr:rowOff>
    </xdr:from>
    <xdr:to>
      <xdr:col>11</xdr:col>
      <xdr:colOff>219902</xdr:colOff>
      <xdr:row>23</xdr:row>
      <xdr:rowOff>104775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AAB64EC-801C-4ECB-AFD9-4F90413ECE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62482"/>
        <a:stretch/>
      </xdr:blipFill>
      <xdr:spPr>
        <a:xfrm>
          <a:off x="5800725" y="1123950"/>
          <a:ext cx="5925377" cy="1933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285751</xdr:colOff>
      <xdr:row>16</xdr:row>
      <xdr:rowOff>104775</xdr:rowOff>
    </xdr:from>
    <xdr:to>
      <xdr:col>6</xdr:col>
      <xdr:colOff>533401</xdr:colOff>
      <xdr:row>43</xdr:row>
      <xdr:rowOff>114912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DAF28C59-889E-47CF-A5B8-DC7F84B588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2989"/>
        <a:stretch/>
      </xdr:blipFill>
      <xdr:spPr>
        <a:xfrm>
          <a:off x="285751" y="2752725"/>
          <a:ext cx="4819650" cy="4382112"/>
        </a:xfrm>
        <a:prstGeom prst="rect">
          <a:avLst/>
        </a:prstGeom>
        <a:ln w="38100">
          <a:solidFill>
            <a:schemeClr val="accent2"/>
          </a:solidFill>
        </a:ln>
      </xdr:spPr>
    </xdr:pic>
    <xdr:clientData/>
  </xdr:twoCellAnchor>
  <xdr:twoCellAnchor editAs="oneCell">
    <xdr:from>
      <xdr:col>5</xdr:col>
      <xdr:colOff>552451</xdr:colOff>
      <xdr:row>16</xdr:row>
      <xdr:rowOff>66675</xdr:rowOff>
    </xdr:from>
    <xdr:to>
      <xdr:col>11</xdr:col>
      <xdr:colOff>180976</xdr:colOff>
      <xdr:row>43</xdr:row>
      <xdr:rowOff>124443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10D180FB-23FD-44AF-BCC1-54CA8717DA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38287"/>
        <a:stretch/>
      </xdr:blipFill>
      <xdr:spPr>
        <a:xfrm>
          <a:off x="4362451" y="2714625"/>
          <a:ext cx="4438650" cy="4429743"/>
        </a:xfrm>
        <a:prstGeom prst="rect">
          <a:avLst/>
        </a:prstGeom>
        <a:ln w="28575">
          <a:solidFill>
            <a:srgbClr val="4472C4"/>
          </a:solidFill>
        </a:ln>
      </xdr:spPr>
    </xdr:pic>
    <xdr:clientData/>
  </xdr:twoCellAnchor>
  <xdr:twoCellAnchor editAs="oneCell">
    <xdr:from>
      <xdr:col>10</xdr:col>
      <xdr:colOff>285750</xdr:colOff>
      <xdr:row>16</xdr:row>
      <xdr:rowOff>76200</xdr:rowOff>
    </xdr:from>
    <xdr:to>
      <xdr:col>19</xdr:col>
      <xdr:colOff>620129</xdr:colOff>
      <xdr:row>43</xdr:row>
      <xdr:rowOff>133968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BEFD5291-D7D8-4B1A-A67A-F2105F24B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43875" y="2724150"/>
          <a:ext cx="7192379" cy="4429743"/>
        </a:xfrm>
        <a:prstGeom prst="rect">
          <a:avLst/>
        </a:prstGeom>
        <a:ln w="28575">
          <a:solidFill>
            <a:schemeClr val="accent4"/>
          </a:solidFill>
        </a:ln>
      </xdr:spPr>
    </xdr:pic>
    <xdr:clientData/>
  </xdr:twoCellAnchor>
  <xdr:twoCellAnchor editAs="oneCell">
    <xdr:from>
      <xdr:col>3</xdr:col>
      <xdr:colOff>695325</xdr:colOff>
      <xdr:row>1</xdr:row>
      <xdr:rowOff>123825</xdr:rowOff>
    </xdr:from>
    <xdr:to>
      <xdr:col>11</xdr:col>
      <xdr:colOff>534261</xdr:colOff>
      <xdr:row>11</xdr:row>
      <xdr:rowOff>85725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F021345-3782-41E9-9545-728E3E8C8A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55765"/>
        <a:stretch/>
      </xdr:blipFill>
      <xdr:spPr>
        <a:xfrm>
          <a:off x="2981325" y="285750"/>
          <a:ext cx="6173061" cy="1609725"/>
        </a:xfrm>
        <a:prstGeom prst="rect">
          <a:avLst/>
        </a:prstGeom>
      </xdr:spPr>
    </xdr:pic>
    <xdr:clientData/>
  </xdr:twoCellAnchor>
  <xdr:twoCellAnchor>
    <xdr:from>
      <xdr:col>3</xdr:col>
      <xdr:colOff>161925</xdr:colOff>
      <xdr:row>4</xdr:row>
      <xdr:rowOff>38100</xdr:rowOff>
    </xdr:from>
    <xdr:to>
      <xdr:col>3</xdr:col>
      <xdr:colOff>571500</xdr:colOff>
      <xdr:row>5</xdr:row>
      <xdr:rowOff>95250</xdr:rowOff>
    </xdr:to>
    <xdr:sp macro="" textlink="">
      <xdr:nvSpPr>
        <xdr:cNvPr id="9" name="Pfeil: nach rechts 8">
          <a:extLst>
            <a:ext uri="{FF2B5EF4-FFF2-40B4-BE49-F238E27FC236}">
              <a16:creationId xmlns:a16="http://schemas.microsoft.com/office/drawing/2014/main" id="{A94266CB-F8C3-4FFF-9B87-38CA1EC280A8}"/>
            </a:ext>
          </a:extLst>
        </xdr:cNvPr>
        <xdr:cNvSpPr/>
      </xdr:nvSpPr>
      <xdr:spPr>
        <a:xfrm>
          <a:off x="2447925" y="714375"/>
          <a:ext cx="409575" cy="2190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133351</xdr:rowOff>
    </xdr:from>
    <xdr:to>
      <xdr:col>7</xdr:col>
      <xdr:colOff>742950</xdr:colOff>
      <xdr:row>25</xdr:row>
      <xdr:rowOff>33857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B9C34F8-AF9B-486A-AB08-73BB1FA75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95276"/>
          <a:ext cx="5314950" cy="37867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542926</xdr:colOff>
      <xdr:row>1</xdr:row>
      <xdr:rowOff>104775</xdr:rowOff>
    </xdr:from>
    <xdr:to>
      <xdr:col>16</xdr:col>
      <xdr:colOff>761570</xdr:colOff>
      <xdr:row>21</xdr:row>
      <xdr:rowOff>38100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3B420E4A-38BF-47D2-A12E-545BB361A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87151" y="266700"/>
          <a:ext cx="1742644" cy="3171825"/>
        </a:xfrm>
        <a:prstGeom prst="rect">
          <a:avLst/>
        </a:prstGeom>
      </xdr:spPr>
    </xdr:pic>
    <xdr:clientData/>
  </xdr:twoCellAnchor>
  <xdr:twoCellAnchor editAs="oneCell">
    <xdr:from>
      <xdr:col>10</xdr:col>
      <xdr:colOff>257176</xdr:colOff>
      <xdr:row>1</xdr:row>
      <xdr:rowOff>95250</xdr:rowOff>
    </xdr:from>
    <xdr:to>
      <xdr:col>12</xdr:col>
      <xdr:colOff>1</xdr:colOff>
      <xdr:row>21</xdr:row>
      <xdr:rowOff>50006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70D3CC9-9900-42E0-90D1-EA3628C7E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77176" y="257175"/>
          <a:ext cx="1543050" cy="31932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282383</xdr:colOff>
      <xdr:row>3</xdr:row>
      <xdr:rowOff>65725</xdr:rowOff>
    </xdr:from>
    <xdr:to>
      <xdr:col>8</xdr:col>
      <xdr:colOff>463103</xdr:colOff>
      <xdr:row>10</xdr:row>
      <xdr:rowOff>135614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1B0218FE-4BE7-4E6A-8E19-1FF6F41905D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397183" y="551500"/>
          <a:ext cx="2342895" cy="1203364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223605</xdr:colOff>
      <xdr:row>3</xdr:row>
      <xdr:rowOff>56985</xdr:rowOff>
    </xdr:from>
    <xdr:to>
      <xdr:col>4</xdr:col>
      <xdr:colOff>540765</xdr:colOff>
      <xdr:row>10</xdr:row>
      <xdr:rowOff>118905</xdr:rowOff>
    </xdr:to>
    <xdr:pic>
      <xdr:nvPicPr>
        <xdr:cNvPr id="3" name="Bild 1">
          <a:extLst>
            <a:ext uri="{FF2B5EF4-FFF2-40B4-BE49-F238E27FC236}">
              <a16:creationId xmlns:a16="http://schemas.microsoft.com/office/drawing/2014/main" id="{4442874F-3928-4CCA-9DC4-9F764B8A531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38005" y="542760"/>
          <a:ext cx="2345985" cy="1195395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9</xdr:col>
      <xdr:colOff>274151</xdr:colOff>
      <xdr:row>3</xdr:row>
      <xdr:rowOff>48705</xdr:rowOff>
    </xdr:from>
    <xdr:to>
      <xdr:col>12</xdr:col>
      <xdr:colOff>449273</xdr:colOff>
      <xdr:row>10</xdr:row>
      <xdr:rowOff>110625</xdr:rowOff>
    </xdr:to>
    <xdr:pic>
      <xdr:nvPicPr>
        <xdr:cNvPr id="4" name="Bild 1">
          <a:extLst>
            <a:ext uri="{FF2B5EF4-FFF2-40B4-BE49-F238E27FC236}">
              <a16:creationId xmlns:a16="http://schemas.microsoft.com/office/drawing/2014/main" id="{FCCCE816-5062-4ACF-8C0B-B19640F8347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846526" y="534480"/>
          <a:ext cx="2346822" cy="1195395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4</xdr:col>
      <xdr:colOff>36765</xdr:colOff>
      <xdr:row>10</xdr:row>
      <xdr:rowOff>114645</xdr:rowOff>
    </xdr:from>
    <xdr:to>
      <xdr:col>4</xdr:col>
      <xdr:colOff>541125</xdr:colOff>
      <xdr:row>16</xdr:row>
      <xdr:rowOff>16365</xdr:rowOff>
    </xdr:to>
    <xdr:pic>
      <xdr:nvPicPr>
        <xdr:cNvPr id="5" name="Bild 2">
          <a:extLst>
            <a:ext uri="{FF2B5EF4-FFF2-40B4-BE49-F238E27FC236}">
              <a16:creationId xmlns:a16="http://schemas.microsoft.com/office/drawing/2014/main" id="{7A666148-615E-44BF-A1BB-19DBA5541F85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979990" y="1733895"/>
          <a:ext cx="504360" cy="806595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7</xdr:col>
      <xdr:colOff>1144365</xdr:colOff>
      <xdr:row>10</xdr:row>
      <xdr:rowOff>86565</xdr:rowOff>
    </xdr:from>
    <xdr:to>
      <xdr:col>8</xdr:col>
      <xdr:colOff>429525</xdr:colOff>
      <xdr:row>15</xdr:row>
      <xdr:rowOff>151005</xdr:rowOff>
    </xdr:to>
    <xdr:pic>
      <xdr:nvPicPr>
        <xdr:cNvPr id="6" name="Bild 3">
          <a:extLst>
            <a:ext uri="{FF2B5EF4-FFF2-40B4-BE49-F238E27FC236}">
              <a16:creationId xmlns:a16="http://schemas.microsoft.com/office/drawing/2014/main" id="{202FEFD4-AEC3-4F15-BE48-2325E7A33FC9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202140" y="1705815"/>
          <a:ext cx="504360" cy="80739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12</xdr:col>
      <xdr:colOff>33525</xdr:colOff>
      <xdr:row>10</xdr:row>
      <xdr:rowOff>95925</xdr:rowOff>
    </xdr:from>
    <xdr:to>
      <xdr:col>12</xdr:col>
      <xdr:colOff>471210</xdr:colOff>
      <xdr:row>15</xdr:row>
      <xdr:rowOff>160365</xdr:rowOff>
    </xdr:to>
    <xdr:pic>
      <xdr:nvPicPr>
        <xdr:cNvPr id="7" name="Bild 4">
          <a:extLst>
            <a:ext uri="{FF2B5EF4-FFF2-40B4-BE49-F238E27FC236}">
              <a16:creationId xmlns:a16="http://schemas.microsoft.com/office/drawing/2014/main" id="{B86B1BDF-34E7-4496-9ECC-3E66C983FC96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777600" y="1715175"/>
          <a:ext cx="504360" cy="80739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5</xdr:col>
      <xdr:colOff>524325</xdr:colOff>
      <xdr:row>20</xdr:row>
      <xdr:rowOff>77565</xdr:rowOff>
    </xdr:from>
    <xdr:to>
      <xdr:col>11</xdr:col>
      <xdr:colOff>84645</xdr:colOff>
      <xdr:row>22</xdr:row>
      <xdr:rowOff>160005</xdr:rowOff>
    </xdr:to>
    <xdr:pic>
      <xdr:nvPicPr>
        <xdr:cNvPr id="8" name="Bild 5">
          <a:extLst>
            <a:ext uri="{FF2B5EF4-FFF2-40B4-BE49-F238E27FC236}">
              <a16:creationId xmlns:a16="http://schemas.microsoft.com/office/drawing/2014/main" id="{55878807-4E4E-4EBE-BD7A-DB510CD45186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01050" y="3249390"/>
          <a:ext cx="3808470" cy="40629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5</xdr:col>
      <xdr:colOff>596325</xdr:colOff>
      <xdr:row>25</xdr:row>
      <xdr:rowOff>49125</xdr:rowOff>
    </xdr:from>
    <xdr:to>
      <xdr:col>7</xdr:col>
      <xdr:colOff>809685</xdr:colOff>
      <xdr:row>36</xdr:row>
      <xdr:rowOff>139260</xdr:rowOff>
    </xdr:to>
    <xdr:pic>
      <xdr:nvPicPr>
        <xdr:cNvPr id="9" name="Bild 6">
          <a:extLst>
            <a:ext uri="{FF2B5EF4-FFF2-40B4-BE49-F238E27FC236}">
              <a16:creationId xmlns:a16="http://schemas.microsoft.com/office/drawing/2014/main" id="{716F3AF8-E1C1-4FAA-AFD5-C70331CAD97A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873050" y="4030575"/>
          <a:ext cx="994410" cy="187131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657907</xdr:colOff>
      <xdr:row>36</xdr:row>
      <xdr:rowOff>29629</xdr:rowOff>
    </xdr:from>
    <xdr:to>
      <xdr:col>3</xdr:col>
      <xdr:colOff>179819</xdr:colOff>
      <xdr:row>41</xdr:row>
      <xdr:rowOff>97286</xdr:rowOff>
    </xdr:to>
    <xdr:pic>
      <xdr:nvPicPr>
        <xdr:cNvPr id="10" name="Bild 7">
          <a:extLst>
            <a:ext uri="{FF2B5EF4-FFF2-40B4-BE49-F238E27FC236}">
              <a16:creationId xmlns:a16="http://schemas.microsoft.com/office/drawing/2014/main" id="{21440C01-CC51-4D6E-871E-B0387BC74E0B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819832" y="5792254"/>
          <a:ext cx="1084012" cy="915382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5</xdr:col>
      <xdr:colOff>463785</xdr:colOff>
      <xdr:row>44</xdr:row>
      <xdr:rowOff>41400</xdr:rowOff>
    </xdr:from>
    <xdr:to>
      <xdr:col>7</xdr:col>
      <xdr:colOff>902565</xdr:colOff>
      <xdr:row>52</xdr:row>
      <xdr:rowOff>150120</xdr:rowOff>
    </xdr:to>
    <xdr:pic>
      <xdr:nvPicPr>
        <xdr:cNvPr id="11" name="Bild 8">
          <a:extLst>
            <a:ext uri="{FF2B5EF4-FFF2-40B4-BE49-F238E27FC236}">
              <a16:creationId xmlns:a16="http://schemas.microsoft.com/office/drawing/2014/main" id="{DBDC6565-7F17-4A07-BF47-B6C7E7E497FB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16685" y="7137525"/>
          <a:ext cx="1343655" cy="14041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190500</xdr:colOff>
      <xdr:row>34</xdr:row>
      <xdr:rowOff>76200</xdr:rowOff>
    </xdr:from>
    <xdr:to>
      <xdr:col>5</xdr:col>
      <xdr:colOff>590550</xdr:colOff>
      <xdr:row>36</xdr:row>
      <xdr:rowOff>123824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963FEEA0-D29E-4717-B18B-6EC728A8DC66}"/>
            </a:ext>
          </a:extLst>
        </xdr:cNvPr>
        <xdr:cNvSpPr/>
      </xdr:nvSpPr>
      <xdr:spPr>
        <a:xfrm flipV="1">
          <a:off x="1914525" y="5514975"/>
          <a:ext cx="2952750" cy="371474"/>
        </a:xfrm>
        <a:prstGeom prst="line">
          <a:avLst/>
        </a:prstGeom>
        <a:ln>
          <a:solidFill>
            <a:srgbClr val="3465A4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6</xdr:col>
      <xdr:colOff>70335</xdr:colOff>
      <xdr:row>37</xdr:row>
      <xdr:rowOff>117855</xdr:rowOff>
    </xdr:from>
    <xdr:to>
      <xdr:col>6</xdr:col>
      <xdr:colOff>89775</xdr:colOff>
      <xdr:row>46</xdr:row>
      <xdr:rowOff>79755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9F21451-68C8-4DE1-AEC2-BA6EB76E2A72}"/>
            </a:ext>
          </a:extLst>
        </xdr:cNvPr>
        <xdr:cNvSpPr/>
      </xdr:nvSpPr>
      <xdr:spPr>
        <a:xfrm>
          <a:off x="4956660" y="6042405"/>
          <a:ext cx="19440" cy="1457325"/>
        </a:xfrm>
        <a:prstGeom prst="line">
          <a:avLst/>
        </a:prstGeom>
        <a:ln>
          <a:solidFill>
            <a:srgbClr val="3465A4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1143000</xdr:colOff>
      <xdr:row>59</xdr:row>
      <xdr:rowOff>9525</xdr:rowOff>
    </xdr:to>
    <xdr:sp macro="" textlink="">
      <xdr:nvSpPr>
        <xdr:cNvPr id="14" name="AutoShape 8">
          <a:extLst>
            <a:ext uri="{FF2B5EF4-FFF2-40B4-BE49-F238E27FC236}">
              <a16:creationId xmlns:a16="http://schemas.microsoft.com/office/drawing/2014/main" id="{69B97711-C885-4BEB-97F5-C93038F4664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1143000</xdr:colOff>
      <xdr:row>59</xdr:row>
      <xdr:rowOff>9525</xdr:rowOff>
    </xdr:to>
    <xdr:sp macro="" textlink="">
      <xdr:nvSpPr>
        <xdr:cNvPr id="15" name="AutoShape 6">
          <a:extLst>
            <a:ext uri="{FF2B5EF4-FFF2-40B4-BE49-F238E27FC236}">
              <a16:creationId xmlns:a16="http://schemas.microsoft.com/office/drawing/2014/main" id="{2E0E0A05-87D1-4A07-A7DD-B5AD82B133A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1143000</xdr:colOff>
      <xdr:row>59</xdr:row>
      <xdr:rowOff>9525</xdr:rowOff>
    </xdr:to>
    <xdr:sp macro="" textlink="">
      <xdr:nvSpPr>
        <xdr:cNvPr id="16" name="AutoShape 4">
          <a:extLst>
            <a:ext uri="{FF2B5EF4-FFF2-40B4-BE49-F238E27FC236}">
              <a16:creationId xmlns:a16="http://schemas.microsoft.com/office/drawing/2014/main" id="{3F36C279-A609-4D15-91ED-F5C0223E5BC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1143000</xdr:colOff>
      <xdr:row>59</xdr:row>
      <xdr:rowOff>9525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7D637D22-75D0-4F1F-A51B-4F98E150DE0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1143000</xdr:colOff>
      <xdr:row>59</xdr:row>
      <xdr:rowOff>9525</xdr:rowOff>
    </xdr:to>
    <xdr:sp macro="" textlink="">
      <xdr:nvSpPr>
        <xdr:cNvPr id="18" name="AutoShape 8">
          <a:extLst>
            <a:ext uri="{FF2B5EF4-FFF2-40B4-BE49-F238E27FC236}">
              <a16:creationId xmlns:a16="http://schemas.microsoft.com/office/drawing/2014/main" id="{908ED0F8-26B8-4AB2-B482-54230710EE0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1143000</xdr:colOff>
      <xdr:row>59</xdr:row>
      <xdr:rowOff>9525</xdr:rowOff>
    </xdr:to>
    <xdr:sp macro="" textlink="">
      <xdr:nvSpPr>
        <xdr:cNvPr id="19" name="AutoShape 6">
          <a:extLst>
            <a:ext uri="{FF2B5EF4-FFF2-40B4-BE49-F238E27FC236}">
              <a16:creationId xmlns:a16="http://schemas.microsoft.com/office/drawing/2014/main" id="{A42B13C7-8002-4B92-8CAB-A053D015628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1143000</xdr:colOff>
      <xdr:row>59</xdr:row>
      <xdr:rowOff>9525</xdr:rowOff>
    </xdr:to>
    <xdr:sp macro="" textlink="">
      <xdr:nvSpPr>
        <xdr:cNvPr id="20" name="AutoShape 4">
          <a:extLst>
            <a:ext uri="{FF2B5EF4-FFF2-40B4-BE49-F238E27FC236}">
              <a16:creationId xmlns:a16="http://schemas.microsoft.com/office/drawing/2014/main" id="{14A3F54F-E7F8-4D70-8A09-19EFD5A2A7B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1143000</xdr:colOff>
      <xdr:row>59</xdr:row>
      <xdr:rowOff>9525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74D88497-1FEE-4CCA-A8D0-1C1E7C5ACF5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431821</xdr:colOff>
      <xdr:row>16</xdr:row>
      <xdr:rowOff>16364</xdr:rowOff>
    </xdr:from>
    <xdr:to>
      <xdr:col>7</xdr:col>
      <xdr:colOff>1</xdr:colOff>
      <xdr:row>20</xdr:row>
      <xdr:rowOff>152399</xdr:rowOff>
    </xdr:to>
    <xdr:cxnSp macro="">
      <xdr:nvCxnSpPr>
        <xdr:cNvPr id="22" name="Verbinder: gewinkelt 21">
          <a:extLst>
            <a:ext uri="{FF2B5EF4-FFF2-40B4-BE49-F238E27FC236}">
              <a16:creationId xmlns:a16="http://schemas.microsoft.com/office/drawing/2014/main" id="{6886D21F-3C4F-448D-ABB8-34AFD4716476}"/>
            </a:ext>
          </a:extLst>
        </xdr:cNvPr>
        <xdr:cNvCxnSpPr>
          <a:stCxn id="5" idx="2"/>
        </xdr:cNvCxnSpPr>
      </xdr:nvCxnSpPr>
      <xdr:spPr>
        <a:xfrm rot="16200000" flipH="1">
          <a:off x="3681668" y="2090992"/>
          <a:ext cx="783735" cy="1682730"/>
        </a:xfrm>
        <a:prstGeom prst="bentConnector2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320220</xdr:colOff>
      <xdr:row>15</xdr:row>
      <xdr:rowOff>151004</xdr:rowOff>
    </xdr:from>
    <xdr:to>
      <xdr:col>8</xdr:col>
      <xdr:colOff>571185</xdr:colOff>
      <xdr:row>20</xdr:row>
      <xdr:rowOff>77564</xdr:rowOff>
    </xdr:to>
    <xdr:cxnSp macro="">
      <xdr:nvCxnSpPr>
        <xdr:cNvPr id="23" name="Verbinder: gewinkelt 22">
          <a:extLst>
            <a:ext uri="{FF2B5EF4-FFF2-40B4-BE49-F238E27FC236}">
              <a16:creationId xmlns:a16="http://schemas.microsoft.com/office/drawing/2014/main" id="{40A8F1B1-3A2F-4D83-8E44-92205F368BB8}"/>
            </a:ext>
          </a:extLst>
        </xdr:cNvPr>
        <xdr:cNvCxnSpPr>
          <a:stCxn id="6" idx="2"/>
          <a:endCxn id="8" idx="0"/>
        </xdr:cNvCxnSpPr>
      </xdr:nvCxnSpPr>
      <xdr:spPr>
        <a:xfrm rot="16200000" flipH="1">
          <a:off x="6211710" y="2755814"/>
          <a:ext cx="736185" cy="250965"/>
        </a:xfrm>
        <a:prstGeom prst="bentConnector3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227520</xdr:colOff>
      <xdr:row>15</xdr:row>
      <xdr:rowOff>160365</xdr:rowOff>
    </xdr:from>
    <xdr:to>
      <xdr:col>12</xdr:col>
      <xdr:colOff>428580</xdr:colOff>
      <xdr:row>21</xdr:row>
      <xdr:rowOff>118785</xdr:rowOff>
    </xdr:to>
    <xdr:cxnSp macro="">
      <xdr:nvCxnSpPr>
        <xdr:cNvPr id="24" name="Verbinder: gewinkelt 23">
          <a:extLst>
            <a:ext uri="{FF2B5EF4-FFF2-40B4-BE49-F238E27FC236}">
              <a16:creationId xmlns:a16="http://schemas.microsoft.com/office/drawing/2014/main" id="{F3E43FD2-E127-4706-8A15-FF5683713134}"/>
            </a:ext>
          </a:extLst>
        </xdr:cNvPr>
        <xdr:cNvCxnSpPr>
          <a:stCxn id="7" idx="2"/>
          <a:endCxn id="8" idx="3"/>
        </xdr:cNvCxnSpPr>
      </xdr:nvCxnSpPr>
      <xdr:spPr>
        <a:xfrm rot="5400000">
          <a:off x="8854665" y="2277420"/>
          <a:ext cx="929970" cy="1420260"/>
        </a:xfrm>
        <a:prstGeom prst="bentConnector2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840442</xdr:colOff>
      <xdr:row>22</xdr:row>
      <xdr:rowOff>123267</xdr:rowOff>
    </xdr:from>
    <xdr:to>
      <xdr:col>7</xdr:col>
      <xdr:colOff>1120589</xdr:colOff>
      <xdr:row>36</xdr:row>
      <xdr:rowOff>78442</xdr:rowOff>
    </xdr:to>
    <xdr:cxnSp macro="">
      <xdr:nvCxnSpPr>
        <xdr:cNvPr id="25" name="Verbinder: gewinkelt 24">
          <a:extLst>
            <a:ext uri="{FF2B5EF4-FFF2-40B4-BE49-F238E27FC236}">
              <a16:creationId xmlns:a16="http://schemas.microsoft.com/office/drawing/2014/main" id="{E6DDAFD0-D0DE-4108-94D4-36AD326F474A}"/>
            </a:ext>
          </a:extLst>
        </xdr:cNvPr>
        <xdr:cNvCxnSpPr/>
      </xdr:nvCxnSpPr>
      <xdr:spPr>
        <a:xfrm rot="5400000" flipH="1" flipV="1">
          <a:off x="4784353" y="4589931"/>
          <a:ext cx="2222125" cy="280147"/>
        </a:xfrm>
        <a:prstGeom prst="bentConnector3">
          <a:avLst>
            <a:gd name="adj1" fmla="val -1099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695328</xdr:colOff>
      <xdr:row>47</xdr:row>
      <xdr:rowOff>95253</xdr:rowOff>
    </xdr:from>
    <xdr:to>
      <xdr:col>0</xdr:col>
      <xdr:colOff>723901</xdr:colOff>
      <xdr:row>58</xdr:row>
      <xdr:rowOff>95254</xdr:rowOff>
    </xdr:to>
    <xdr:cxnSp macro="">
      <xdr:nvCxnSpPr>
        <xdr:cNvPr id="26" name="Verbinder: gewinkelt 25">
          <a:extLst>
            <a:ext uri="{FF2B5EF4-FFF2-40B4-BE49-F238E27FC236}">
              <a16:creationId xmlns:a16="http://schemas.microsoft.com/office/drawing/2014/main" id="{E4507540-83A0-48AE-A358-1B6BEF9D7FF2}"/>
            </a:ext>
          </a:extLst>
        </xdr:cNvPr>
        <xdr:cNvCxnSpPr/>
      </xdr:nvCxnSpPr>
      <xdr:spPr>
        <a:xfrm rot="5400000">
          <a:off x="-180973" y="8553454"/>
          <a:ext cx="1781176" cy="28573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590314</xdr:colOff>
      <xdr:row>21</xdr:row>
      <xdr:rowOff>118785</xdr:rowOff>
    </xdr:from>
    <xdr:to>
      <xdr:col>6</xdr:col>
      <xdr:colOff>57601</xdr:colOff>
      <xdr:row>36</xdr:row>
      <xdr:rowOff>29629</xdr:rowOff>
    </xdr:to>
    <xdr:cxnSp macro="">
      <xdr:nvCxnSpPr>
        <xdr:cNvPr id="27" name="Verbinder: gewinkelt 26">
          <a:extLst>
            <a:ext uri="{FF2B5EF4-FFF2-40B4-BE49-F238E27FC236}">
              <a16:creationId xmlns:a16="http://schemas.microsoft.com/office/drawing/2014/main" id="{C6AF2A97-8A41-471C-80DF-C470ED69816B}"/>
            </a:ext>
          </a:extLst>
        </xdr:cNvPr>
        <xdr:cNvCxnSpPr>
          <a:stCxn id="10" idx="0"/>
          <a:endCxn id="8" idx="1"/>
        </xdr:cNvCxnSpPr>
      </xdr:nvCxnSpPr>
      <xdr:spPr>
        <a:xfrm rot="5400000" flipH="1" flipV="1">
          <a:off x="1911585" y="2902789"/>
          <a:ext cx="2339719" cy="3439212"/>
        </a:xfrm>
        <a:prstGeom prst="bentConnector2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542921</xdr:colOff>
      <xdr:row>42</xdr:row>
      <xdr:rowOff>9525</xdr:rowOff>
    </xdr:from>
    <xdr:to>
      <xdr:col>0</xdr:col>
      <xdr:colOff>546100</xdr:colOff>
      <xdr:row>60</xdr:row>
      <xdr:rowOff>101599</xdr:rowOff>
    </xdr:to>
    <xdr:cxnSp macro="">
      <xdr:nvCxnSpPr>
        <xdr:cNvPr id="28" name="Verbinder: gewinkelt 27">
          <a:extLst>
            <a:ext uri="{FF2B5EF4-FFF2-40B4-BE49-F238E27FC236}">
              <a16:creationId xmlns:a16="http://schemas.microsoft.com/office/drawing/2014/main" id="{8B714729-C7F9-4EE0-BAB4-4C0273C6977C}"/>
            </a:ext>
          </a:extLst>
        </xdr:cNvPr>
        <xdr:cNvCxnSpPr/>
      </xdr:nvCxnSpPr>
      <xdr:spPr>
        <a:xfrm rot="16200000" flipH="1">
          <a:off x="-958851" y="8283572"/>
          <a:ext cx="3006724" cy="3179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MM62"/>
  <sheetViews>
    <sheetView tabSelected="1" zoomScaleNormal="100" workbookViewId="0">
      <selection activeCell="F39" sqref="F39"/>
    </sheetView>
  </sheetViews>
  <sheetFormatPr baseColWidth="10" defaultColWidth="9.140625" defaultRowHeight="12.75" x14ac:dyDescent="0.2"/>
  <cols>
    <col min="1" max="1" width="11.5703125" style="1"/>
    <col min="2" max="2" width="9.5703125" style="1" customWidth="1"/>
    <col min="3" max="3" width="2.5703125" style="1" customWidth="1"/>
    <col min="4" max="4" width="18.28515625" style="1" customWidth="1"/>
    <col min="5" max="5" width="17.5703125" style="1" customWidth="1"/>
    <col min="6" max="6" width="11.5703125" style="1"/>
    <col min="7" max="7" width="2.5703125" style="1" customWidth="1"/>
    <col min="8" max="8" width="18.28515625" style="1" customWidth="1"/>
    <col min="9" max="9" width="19.42578125" style="1" customWidth="1"/>
    <col min="10" max="10" width="11.5703125" style="1"/>
    <col min="11" max="11" width="2.7109375" style="1" customWidth="1"/>
    <col min="12" max="12" width="18.28515625" style="1" customWidth="1"/>
    <col min="13" max="13" width="11.5703125" style="1"/>
    <col min="14" max="14" width="2.5703125" style="1" customWidth="1"/>
    <col min="15" max="15" width="20.42578125" style="2" customWidth="1"/>
    <col min="16" max="16" width="14.28515625" style="1" customWidth="1"/>
    <col min="17" max="17" width="13.42578125" style="1" customWidth="1"/>
    <col min="18" max="18" width="10.7109375" style="1" customWidth="1"/>
    <col min="19" max="19" width="5" style="1" customWidth="1"/>
    <col min="20" max="20" width="10.42578125" style="1" customWidth="1"/>
    <col min="21" max="21" width="4.42578125" style="1" customWidth="1"/>
    <col min="22" max="1025" width="11.5703125" style="1"/>
  </cols>
  <sheetData>
    <row r="2" spans="2:21" x14ac:dyDescent="0.2">
      <c r="D2" s="3" t="s">
        <v>0</v>
      </c>
      <c r="H2" s="3" t="s">
        <v>0</v>
      </c>
      <c r="L2" s="3" t="s">
        <v>0</v>
      </c>
    </row>
    <row r="3" spans="2:21" s="1" customFormat="1" x14ac:dyDescent="0.2">
      <c r="D3" s="4" t="s">
        <v>1</v>
      </c>
      <c r="H3" s="4" t="s">
        <v>2</v>
      </c>
      <c r="L3" s="4" t="s">
        <v>3</v>
      </c>
      <c r="P3" s="5" t="s">
        <v>113</v>
      </c>
      <c r="Q3" s="6"/>
      <c r="R3" s="6"/>
      <c r="S3" s="6"/>
      <c r="T3" s="6"/>
      <c r="U3" s="6"/>
    </row>
    <row r="4" spans="2:21" s="1" customFormat="1" x14ac:dyDescent="0.2">
      <c r="P4" s="7" t="str">
        <f>IF(C12="X"," IP-adressenkonflikt - bitte prüfen / ändern","")</f>
        <v/>
      </c>
      <c r="Q4" s="8"/>
      <c r="R4" s="8"/>
      <c r="S4" s="8"/>
      <c r="T4" s="8"/>
      <c r="U4" s="8"/>
    </row>
    <row r="5" spans="2:21" x14ac:dyDescent="0.2">
      <c r="P5" s="7" t="str">
        <f>IF(K38="X"," IP-adressenkonflikt (BWH-IP1) - bitte prüfen / ändern","")</f>
        <v/>
      </c>
      <c r="Q5" s="8"/>
      <c r="R5" s="8"/>
      <c r="S5" s="8"/>
      <c r="T5" s="8"/>
      <c r="U5" s="8"/>
    </row>
    <row r="6" spans="2:21" x14ac:dyDescent="0.2">
      <c r="P6" s="7" t="str">
        <f>IF(K39="X"," Subnet stimmt nicht überein (BWH-IP1) - bitte prüfen / ändern","")</f>
        <v/>
      </c>
      <c r="Q6" s="8"/>
      <c r="R6" s="8"/>
      <c r="S6" s="8"/>
      <c r="T6" s="8"/>
      <c r="U6" s="8"/>
    </row>
    <row r="7" spans="2:21" x14ac:dyDescent="0.2">
      <c r="P7" s="7" t="str">
        <f>IF(OR(K30="X",K35="X")," IP-Adressenkonflikt zwischen IF10 und IF11 (BWH) - bitte prüfen / ändern","")</f>
        <v/>
      </c>
      <c r="Q7" s="8"/>
      <c r="R7" s="8"/>
      <c r="S7" s="8"/>
      <c r="T7" s="8"/>
      <c r="U7" s="8"/>
    </row>
    <row r="8" spans="2:21" x14ac:dyDescent="0.2">
      <c r="P8" s="8"/>
      <c r="Q8" s="8"/>
      <c r="R8" s="8"/>
      <c r="S8" s="8"/>
      <c r="T8" s="8"/>
      <c r="U8" s="8"/>
    </row>
    <row r="9" spans="2:21" x14ac:dyDescent="0.2">
      <c r="P9" s="8"/>
      <c r="Q9" s="8"/>
      <c r="R9" s="8"/>
      <c r="S9" s="8"/>
      <c r="T9" s="8"/>
      <c r="U9" s="8"/>
    </row>
    <row r="10" spans="2:21" x14ac:dyDescent="0.2">
      <c r="P10" s="8"/>
      <c r="Q10" s="8"/>
      <c r="R10" s="8"/>
      <c r="S10" s="8"/>
      <c r="T10" s="8"/>
      <c r="U10" s="8"/>
    </row>
    <row r="11" spans="2:21" x14ac:dyDescent="0.2">
      <c r="P11" s="8"/>
      <c r="Q11" s="8"/>
      <c r="R11" s="8"/>
      <c r="S11" s="8"/>
      <c r="T11" s="8"/>
      <c r="U11" s="8"/>
    </row>
    <row r="12" spans="2:21" x14ac:dyDescent="0.2">
      <c r="B12" s="9" t="s">
        <v>96</v>
      </c>
      <c r="C12" s="10" t="str">
        <f>calc!F15</f>
        <v>√</v>
      </c>
      <c r="D12" s="4" t="s">
        <v>5</v>
      </c>
      <c r="F12" s="9" t="s">
        <v>4</v>
      </c>
      <c r="G12" s="10" t="str">
        <f>calc!K15</f>
        <v>√</v>
      </c>
      <c r="H12" s="11" t="str">
        <f>calc!G3</f>
        <v>10.10.150.2</v>
      </c>
      <c r="J12" s="9" t="s">
        <v>4</v>
      </c>
      <c r="K12" s="10" t="str">
        <f>calc!P15</f>
        <v>√</v>
      </c>
      <c r="L12" s="11" t="str">
        <f>calc!L3</f>
        <v>10.10.150.3</v>
      </c>
      <c r="P12" s="8"/>
      <c r="Q12" s="8"/>
      <c r="R12" s="8"/>
      <c r="S12" s="8"/>
      <c r="T12" s="8"/>
      <c r="U12" s="8"/>
    </row>
    <row r="13" spans="2:21" x14ac:dyDescent="0.2">
      <c r="B13" s="9" t="s">
        <v>97</v>
      </c>
      <c r="C13" s="3"/>
      <c r="D13" s="4" t="s">
        <v>7</v>
      </c>
      <c r="F13" s="9" t="s">
        <v>6</v>
      </c>
      <c r="G13" s="10" t="str">
        <f>calc!K19</f>
        <v>√</v>
      </c>
      <c r="H13" s="11" t="str">
        <f>calc!G7</f>
        <v>255.0.0.0</v>
      </c>
      <c r="J13" s="9" t="s">
        <v>6</v>
      </c>
      <c r="K13" s="10" t="str">
        <f>calc!P19</f>
        <v>√</v>
      </c>
      <c r="L13" s="11" t="str">
        <f>calc!L7</f>
        <v>255.0.0.0</v>
      </c>
      <c r="P13" s="8"/>
      <c r="Q13" s="8"/>
      <c r="R13" s="8"/>
      <c r="S13" s="8"/>
      <c r="T13" s="8"/>
      <c r="U13" s="8"/>
    </row>
    <row r="14" spans="2:21" x14ac:dyDescent="0.2">
      <c r="B14" s="9" t="s">
        <v>8</v>
      </c>
      <c r="C14" s="9"/>
      <c r="D14" s="11" t="str">
        <f>L38</f>
        <v>10.10.150.100</v>
      </c>
      <c r="F14" s="9" t="s">
        <v>8</v>
      </c>
      <c r="G14" s="9"/>
      <c r="H14" s="11" t="str">
        <f>L38</f>
        <v>10.10.150.100</v>
      </c>
      <c r="J14" s="9" t="s">
        <v>8</v>
      </c>
      <c r="K14" s="9"/>
      <c r="L14" s="11" t="str">
        <f>L38</f>
        <v>10.10.150.100</v>
      </c>
      <c r="P14" s="8"/>
      <c r="Q14" s="8"/>
      <c r="R14" s="8"/>
      <c r="S14" s="8"/>
      <c r="T14" s="8"/>
      <c r="U14" s="8"/>
    </row>
    <row r="15" spans="2:21" ht="7.5" customHeight="1" x14ac:dyDescent="0.2">
      <c r="D15" s="2"/>
      <c r="P15" s="8"/>
      <c r="Q15" s="8"/>
      <c r="R15" s="8"/>
      <c r="S15" s="8"/>
      <c r="T15" s="8"/>
      <c r="U15" s="8"/>
    </row>
    <row r="16" spans="2:21" x14ac:dyDescent="0.2">
      <c r="B16" s="9" t="s">
        <v>9</v>
      </c>
      <c r="C16" s="10" t="str">
        <f>calc!B24</f>
        <v>√</v>
      </c>
      <c r="D16" s="12" t="str">
        <f>calc!B12</f>
        <v>10.0.0.0</v>
      </c>
      <c r="P16" s="8"/>
      <c r="Q16" s="8"/>
      <c r="R16" s="8"/>
      <c r="S16" s="8"/>
      <c r="T16" s="8"/>
      <c r="U16" s="8"/>
    </row>
    <row r="17" spans="3:21 1026:1027" x14ac:dyDescent="0.2">
      <c r="P17" s="8"/>
      <c r="Q17" s="8"/>
      <c r="R17" s="8"/>
      <c r="S17" s="8"/>
      <c r="T17" s="8"/>
      <c r="U17" s="8"/>
    </row>
    <row r="19" spans="3:21 1026:1027" x14ac:dyDescent="0.2">
      <c r="P19" s="4" t="s">
        <v>10</v>
      </c>
      <c r="Q19" s="1" t="s">
        <v>102</v>
      </c>
    </row>
    <row r="20" spans="3:21 1026:1027" x14ac:dyDescent="0.2">
      <c r="P20" s="11">
        <v>123</v>
      </c>
      <c r="Q20" s="1" t="s">
        <v>103</v>
      </c>
    </row>
    <row r="21" spans="3:21 1026:1027" x14ac:dyDescent="0.2">
      <c r="P21" s="12">
        <v>123</v>
      </c>
      <c r="Q21" s="1" t="s">
        <v>104</v>
      </c>
    </row>
    <row r="27" spans="3:21 1026:1027" x14ac:dyDescent="0.2">
      <c r="M27" s="85" t="s">
        <v>11</v>
      </c>
      <c r="N27" s="85"/>
      <c r="O27" s="85"/>
      <c r="P27" s="85"/>
      <c r="Q27" s="85"/>
      <c r="R27" s="85"/>
      <c r="S27" s="85"/>
    </row>
    <row r="28" spans="3:21 1026:1027" x14ac:dyDescent="0.2">
      <c r="I28" s="9" t="s">
        <v>12</v>
      </c>
      <c r="J28" s="9" t="s">
        <v>4</v>
      </c>
      <c r="K28" s="9"/>
      <c r="L28" s="13" t="s">
        <v>13</v>
      </c>
      <c r="M28" s="9" t="s">
        <v>14</v>
      </c>
      <c r="N28" s="9"/>
      <c r="O28" s="14" t="str">
        <f>calc!B66</f>
        <v>SN05529561_SIG_10</v>
      </c>
      <c r="P28" s="9" t="s">
        <v>643</v>
      </c>
      <c r="Q28" s="15" t="s">
        <v>166</v>
      </c>
      <c r="R28" s="9" t="s">
        <v>167</v>
      </c>
      <c r="S28" s="12">
        <f>VLOOKUP(Q28,calc!A140:G170,5,FALSE)</f>
        <v>36</v>
      </c>
      <c r="T28" s="9" t="s">
        <v>16</v>
      </c>
      <c r="U28" s="12">
        <f>VLOOKUP(Q28,calc!A140:G170,6,FALSE)</f>
        <v>80</v>
      </c>
      <c r="AML28" s="1"/>
      <c r="AMM28" s="1"/>
    </row>
    <row r="29" spans="3:21 1026:1027" x14ac:dyDescent="0.2">
      <c r="C29" s="1" t="s">
        <v>101</v>
      </c>
      <c r="D29" s="47"/>
      <c r="J29" s="9" t="s">
        <v>6</v>
      </c>
      <c r="K29" s="9"/>
      <c r="L29" s="4" t="s">
        <v>17</v>
      </c>
      <c r="M29" s="9" t="s">
        <v>18</v>
      </c>
      <c r="N29" s="9"/>
      <c r="O29" s="15" t="s">
        <v>19</v>
      </c>
      <c r="P29" s="9" t="s">
        <v>20</v>
      </c>
      <c r="Q29" s="15" t="s">
        <v>21</v>
      </c>
      <c r="R29" s="9" t="s">
        <v>87</v>
      </c>
      <c r="S29" s="15" t="s">
        <v>21</v>
      </c>
    </row>
    <row r="30" spans="3:21 1026:1027" x14ac:dyDescent="0.2">
      <c r="J30" s="9" t="s">
        <v>9</v>
      </c>
      <c r="K30" s="10" t="str">
        <f>calc!F58</f>
        <v>√</v>
      </c>
      <c r="L30" s="12" t="str">
        <f>calc!B63</f>
        <v>192.168.1.0</v>
      </c>
      <c r="M30" s="9" t="s">
        <v>644</v>
      </c>
      <c r="N30" s="10" t="str">
        <f>calc!K125</f>
        <v>√</v>
      </c>
      <c r="O30" s="15" t="s">
        <v>650</v>
      </c>
    </row>
    <row r="31" spans="3:21 1026:1027" x14ac:dyDescent="0.2">
      <c r="L31" s="16"/>
    </row>
    <row r="32" spans="3:21 1026:1027" x14ac:dyDescent="0.2">
      <c r="E32" s="9" t="s">
        <v>22</v>
      </c>
      <c r="F32" s="15" t="s">
        <v>23</v>
      </c>
      <c r="G32" s="17"/>
      <c r="L32" s="16"/>
    </row>
    <row r="33" spans="2:21 1026:1027" x14ac:dyDescent="0.2">
      <c r="I33" s="9" t="s">
        <v>24</v>
      </c>
      <c r="J33" s="9" t="s">
        <v>4</v>
      </c>
      <c r="K33" s="9"/>
      <c r="L33" s="18" t="s">
        <v>25</v>
      </c>
      <c r="M33" s="9" t="s">
        <v>14</v>
      </c>
      <c r="N33" s="9"/>
      <c r="O33" s="14" t="str">
        <f>calc!G66</f>
        <v>SN05529561_SIG_11</v>
      </c>
      <c r="P33" s="9" t="s">
        <v>15</v>
      </c>
      <c r="Q33" s="15" t="s">
        <v>144</v>
      </c>
      <c r="R33" s="9" t="s">
        <v>15</v>
      </c>
      <c r="S33" s="12">
        <f>VLOOKUP(Q33,calc!A140:G170,5,FALSE)</f>
        <v>6</v>
      </c>
      <c r="T33" s="9" t="s">
        <v>16</v>
      </c>
      <c r="U33" s="12">
        <f>VLOOKUP(Q33,calc!A140:G170,6,FALSE)</f>
        <v>20</v>
      </c>
      <c r="AML33" s="1"/>
      <c r="AMM33" s="1"/>
    </row>
    <row r="34" spans="2:21 1026:1027" x14ac:dyDescent="0.2">
      <c r="J34" s="9" t="s">
        <v>6</v>
      </c>
      <c r="K34" s="9"/>
      <c r="L34" s="4" t="s">
        <v>17</v>
      </c>
      <c r="M34" s="9" t="s">
        <v>18</v>
      </c>
      <c r="N34" s="9"/>
      <c r="O34" s="15" t="s">
        <v>19</v>
      </c>
      <c r="P34" s="9" t="s">
        <v>20</v>
      </c>
      <c r="Q34" s="15" t="s">
        <v>21</v>
      </c>
      <c r="R34" s="9" t="s">
        <v>87</v>
      </c>
      <c r="S34" s="15" t="s">
        <v>21</v>
      </c>
    </row>
    <row r="35" spans="2:21 1026:1027" x14ac:dyDescent="0.2">
      <c r="E35" s="1" t="s">
        <v>100</v>
      </c>
      <c r="J35" s="9" t="s">
        <v>9</v>
      </c>
      <c r="K35" s="10" t="str">
        <f>calc!K58</f>
        <v>√</v>
      </c>
      <c r="L35" s="12" t="str">
        <f>calc!G63</f>
        <v>192.168.2.0</v>
      </c>
      <c r="M35" s="9" t="s">
        <v>644</v>
      </c>
      <c r="N35" s="10" t="str">
        <f>calc!K125</f>
        <v>√</v>
      </c>
      <c r="O35" s="15" t="s">
        <v>650</v>
      </c>
    </row>
    <row r="36" spans="2:21 1026:1027" x14ac:dyDescent="0.2">
      <c r="L36" s="16"/>
    </row>
    <row r="37" spans="2:21 1026:1027" x14ac:dyDescent="0.2">
      <c r="L37" s="16"/>
    </row>
    <row r="38" spans="2:21 1026:1027" ht="13.5" thickBot="1" x14ac:dyDescent="0.25">
      <c r="I38" s="9" t="s">
        <v>26</v>
      </c>
      <c r="J38" s="9" t="s">
        <v>4</v>
      </c>
      <c r="K38" s="10" t="str">
        <f>calc!F41</f>
        <v>√</v>
      </c>
      <c r="L38" s="48" t="s">
        <v>27</v>
      </c>
    </row>
    <row r="39" spans="2:21 1026:1027" ht="13.5" thickTop="1" x14ac:dyDescent="0.2">
      <c r="E39" s="51" t="s">
        <v>114</v>
      </c>
      <c r="F39" s="52" t="s">
        <v>79</v>
      </c>
      <c r="J39" s="9" t="s">
        <v>6</v>
      </c>
      <c r="K39" s="10" t="str">
        <f>calc!F45</f>
        <v>√</v>
      </c>
      <c r="L39" s="11" t="str">
        <f>calc!B33</f>
        <v>255.0.0.0</v>
      </c>
    </row>
    <row r="40" spans="2:21 1026:1027" ht="13.5" thickBot="1" x14ac:dyDescent="0.25">
      <c r="E40" s="53" t="s">
        <v>115</v>
      </c>
      <c r="F40" s="54" t="s">
        <v>78</v>
      </c>
      <c r="I40"/>
      <c r="L40" s="16"/>
    </row>
    <row r="41" spans="2:21 1026:1027" ht="13.5" thickTop="1" x14ac:dyDescent="0.2"/>
    <row r="42" spans="2:21 1026:1027" x14ac:dyDescent="0.2">
      <c r="G42" s="17"/>
    </row>
    <row r="43" spans="2:21 1026:1027" x14ac:dyDescent="0.2">
      <c r="B43" s="9" t="s">
        <v>28</v>
      </c>
      <c r="C43" s="3"/>
      <c r="D43" s="48" t="s">
        <v>98</v>
      </c>
      <c r="G43" s="17"/>
    </row>
    <row r="44" spans="2:21 1026:1027" x14ac:dyDescent="0.2">
      <c r="B44" s="9" t="s">
        <v>4</v>
      </c>
      <c r="C44" s="3"/>
      <c r="D44" s="48" t="s">
        <v>108</v>
      </c>
    </row>
    <row r="45" spans="2:21 1026:1027" x14ac:dyDescent="0.2">
      <c r="B45" s="9" t="s">
        <v>6</v>
      </c>
      <c r="C45" s="3"/>
      <c r="D45" s="55" t="str">
        <f>D16</f>
        <v>10.0.0.0</v>
      </c>
    </row>
    <row r="46" spans="2:21 1026:1027" x14ac:dyDescent="0.2">
      <c r="B46" s="9" t="s">
        <v>8</v>
      </c>
      <c r="C46" s="9"/>
      <c r="D46" s="19" t="str">
        <f>L38</f>
        <v>10.10.150.100</v>
      </c>
    </row>
    <row r="47" spans="2:21 1026:1027" x14ac:dyDescent="0.2">
      <c r="M47" s="86" t="s">
        <v>11</v>
      </c>
      <c r="N47" s="86"/>
      <c r="O47" s="86"/>
      <c r="P47" s="86"/>
      <c r="Q47" s="86"/>
      <c r="R47" s="86"/>
      <c r="S47" s="86"/>
    </row>
    <row r="48" spans="2:21 1026:1027" x14ac:dyDescent="0.2">
      <c r="B48" s="9" t="s">
        <v>28</v>
      </c>
      <c r="C48" s="3"/>
      <c r="D48" s="15" t="s">
        <v>107</v>
      </c>
      <c r="I48" s="9" t="s">
        <v>12</v>
      </c>
      <c r="J48" s="9" t="s">
        <v>4</v>
      </c>
      <c r="K48" s="10" t="str">
        <f>calc!F83</f>
        <v>√</v>
      </c>
      <c r="L48" s="11" t="str">
        <f>calc!B72</f>
        <v>192.168.1.2</v>
      </c>
      <c r="M48" s="9" t="s">
        <v>14</v>
      </c>
      <c r="N48" s="9"/>
      <c r="O48" s="14" t="str">
        <f>calc!B67</f>
        <v>SN05380593_SIG_10</v>
      </c>
      <c r="P48" s="9" t="s">
        <v>643</v>
      </c>
      <c r="Q48" s="15" t="s">
        <v>166</v>
      </c>
      <c r="R48" s="9" t="s">
        <v>167</v>
      </c>
      <c r="S48" s="12">
        <f>VLOOKUP(Q48,calc!A140:G170,5,FALSE)</f>
        <v>36</v>
      </c>
      <c r="T48" s="9" t="s">
        <v>16</v>
      </c>
      <c r="U48" s="12">
        <f>VLOOKUP(Q48,calc!A140:G170,6,FALSE)</f>
        <v>80</v>
      </c>
      <c r="AML48" s="1"/>
      <c r="AMM48" s="1"/>
    </row>
    <row r="49" spans="2:21 1026:1027" x14ac:dyDescent="0.2">
      <c r="B49" s="9" t="s">
        <v>4</v>
      </c>
      <c r="C49" s="3"/>
      <c r="D49" s="19" t="str">
        <f>IF(D48="IF 11 (2,4GHz)",calc!G98,calc!B98)</f>
        <v>192.168.2.12</v>
      </c>
      <c r="J49" s="9" t="s">
        <v>6</v>
      </c>
      <c r="K49" s="10" t="str">
        <f>calc!F92</f>
        <v>√</v>
      </c>
      <c r="L49" s="19" t="str">
        <f>L29</f>
        <v>255.255.255.0</v>
      </c>
      <c r="M49" s="9" t="s">
        <v>18</v>
      </c>
      <c r="N49" s="9"/>
      <c r="O49" s="15" t="s">
        <v>19</v>
      </c>
      <c r="P49" s="9" t="s">
        <v>20</v>
      </c>
      <c r="Q49" s="15" t="s">
        <v>29</v>
      </c>
      <c r="R49" s="9" t="s">
        <v>87</v>
      </c>
      <c r="S49" s="15" t="s">
        <v>21</v>
      </c>
    </row>
    <row r="50" spans="2:21 1026:1027" x14ac:dyDescent="0.2">
      <c r="B50" s="9" t="s">
        <v>6</v>
      </c>
      <c r="C50" s="3"/>
      <c r="D50" s="19" t="str">
        <f>IF(D48="IF 11 (2,4GHz)",calc!G101,calc!B101)</f>
        <v>255.255.255.0</v>
      </c>
      <c r="J50" s="9" t="s">
        <v>8</v>
      </c>
      <c r="K50" s="9"/>
      <c r="L50" s="19" t="str">
        <f>L28</f>
        <v>192.168.1.1</v>
      </c>
      <c r="M50" s="9" t="s">
        <v>644</v>
      </c>
      <c r="N50" s="10" t="str">
        <f>calc!K126</f>
        <v>√</v>
      </c>
      <c r="O50" s="15" t="s">
        <v>650</v>
      </c>
    </row>
    <row r="51" spans="2:21 1026:1027" x14ac:dyDescent="0.2">
      <c r="B51" s="9" t="s">
        <v>8</v>
      </c>
      <c r="C51" s="9"/>
      <c r="D51" s="19" t="str">
        <f>IF(D48="IF 11 (2,4GHz)",calc!G110,calc!B110)</f>
        <v>192.168.2.1</v>
      </c>
      <c r="L51" s="16"/>
    </row>
    <row r="52" spans="2:21 1026:1027" x14ac:dyDescent="0.2">
      <c r="L52" s="16"/>
    </row>
    <row r="53" spans="2:21 1026:1027" x14ac:dyDescent="0.2">
      <c r="I53" s="9" t="s">
        <v>24</v>
      </c>
      <c r="J53" s="9" t="s">
        <v>4</v>
      </c>
      <c r="K53" s="10" t="str">
        <f>calc!K83</f>
        <v>√</v>
      </c>
      <c r="L53" s="19" t="str">
        <f>calc!G72</f>
        <v>192.168.2.2</v>
      </c>
      <c r="M53" s="9" t="s">
        <v>14</v>
      </c>
      <c r="N53" s="9"/>
      <c r="O53" s="14" t="str">
        <f>calc!G67</f>
        <v>SN05380593_SIG_11</v>
      </c>
      <c r="P53" s="9" t="s">
        <v>15</v>
      </c>
      <c r="Q53" s="15" t="s">
        <v>144</v>
      </c>
      <c r="R53" s="9" t="s">
        <v>15</v>
      </c>
      <c r="S53" s="12">
        <f>VLOOKUP(Q53,calc!A140:G170,5,FALSE)</f>
        <v>6</v>
      </c>
      <c r="T53" s="9" t="s">
        <v>16</v>
      </c>
      <c r="U53" s="12">
        <f>VLOOKUP(Q53,calc!A140:G170,6,FALSE)</f>
        <v>20</v>
      </c>
      <c r="AML53" s="1"/>
      <c r="AMM53" s="1"/>
    </row>
    <row r="54" spans="2:21 1026:1027" x14ac:dyDescent="0.2">
      <c r="J54" s="9" t="s">
        <v>6</v>
      </c>
      <c r="K54" s="10" t="str">
        <f>calc!K92</f>
        <v>√</v>
      </c>
      <c r="L54" s="19" t="str">
        <f>L34</f>
        <v>255.255.255.0</v>
      </c>
      <c r="M54" s="9" t="s">
        <v>18</v>
      </c>
      <c r="N54" s="9"/>
      <c r="O54" s="15" t="s">
        <v>19</v>
      </c>
      <c r="P54" s="9" t="s">
        <v>20</v>
      </c>
      <c r="Q54" s="15" t="s">
        <v>29</v>
      </c>
      <c r="R54" s="9" t="s">
        <v>87</v>
      </c>
      <c r="S54" s="15" t="s">
        <v>21</v>
      </c>
    </row>
    <row r="55" spans="2:21 1026:1027" x14ac:dyDescent="0.2">
      <c r="M55" s="9" t="s">
        <v>644</v>
      </c>
      <c r="N55" s="10" t="str">
        <f>calc!K126</f>
        <v>√</v>
      </c>
      <c r="O55" s="15" t="s">
        <v>650</v>
      </c>
    </row>
    <row r="56" spans="2:21 1026:1027" x14ac:dyDescent="0.2">
      <c r="B56" s="87" t="s">
        <v>105</v>
      </c>
      <c r="C56" s="87"/>
      <c r="D56" s="87"/>
      <c r="E56" s="87"/>
      <c r="F56" s="87"/>
      <c r="G56" s="87"/>
      <c r="H56" s="87"/>
      <c r="I56" s="87"/>
    </row>
    <row r="57" spans="2:21 1026:1027" x14ac:dyDescent="0.2">
      <c r="B57" s="89" t="s">
        <v>116</v>
      </c>
      <c r="C57" s="89"/>
      <c r="D57" s="89"/>
      <c r="E57" s="89"/>
      <c r="F57" s="89"/>
      <c r="G57" s="89"/>
      <c r="H57" s="89"/>
      <c r="I57" s="89"/>
    </row>
    <row r="58" spans="2:21 1026:1027" x14ac:dyDescent="0.2">
      <c r="B58" s="89" t="s">
        <v>99</v>
      </c>
      <c r="C58" s="89"/>
      <c r="D58" s="89"/>
      <c r="E58" s="89"/>
      <c r="F58" s="89"/>
      <c r="G58" s="89"/>
      <c r="H58" s="89"/>
      <c r="I58" s="89"/>
    </row>
    <row r="59" spans="2:21 1026:1027" x14ac:dyDescent="0.2">
      <c r="B59" s="88" t="str">
        <f>"route ADD "&amp;D16&amp;" MASK "&amp;D13&amp;" "&amp;D51&amp;" -p"</f>
        <v>route ADD 10.0.0.0 MASK 255.0.0.0 192.168.2.1 -p</v>
      </c>
      <c r="C59" s="88"/>
      <c r="D59" s="88"/>
      <c r="E59" s="88"/>
      <c r="F59" s="88"/>
      <c r="G59" s="88"/>
      <c r="H59" s="88"/>
      <c r="I59" s="88"/>
      <c r="J59" s="49" t="s">
        <v>106</v>
      </c>
    </row>
    <row r="60" spans="2:21 1026:1027" x14ac:dyDescent="0.2">
      <c r="B60" s="88"/>
      <c r="C60" s="88"/>
      <c r="D60" s="88"/>
      <c r="E60" s="88"/>
      <c r="F60" s="88"/>
      <c r="G60" s="88"/>
      <c r="H60" s="88"/>
      <c r="I60" s="88"/>
    </row>
    <row r="61" spans="2:21 1026:1027" x14ac:dyDescent="0.2">
      <c r="B61" s="88" t="str">
        <f>"route ADD "&amp;L30&amp;" MASK "&amp;L29&amp;" "&amp;D46&amp;" -p"</f>
        <v>route ADD 192.168.1.0 MASK 255.255.255.0 10.10.150.100 -p</v>
      </c>
      <c r="C61" s="88"/>
      <c r="D61" s="88"/>
      <c r="E61" s="88"/>
      <c r="F61" s="88"/>
      <c r="G61" s="88"/>
      <c r="H61" s="88"/>
      <c r="I61" s="88"/>
      <c r="J61" s="49" t="s">
        <v>106</v>
      </c>
    </row>
    <row r="62" spans="2:21 1026:1027" x14ac:dyDescent="0.2">
      <c r="B62" s="88"/>
      <c r="C62" s="88"/>
      <c r="D62" s="88"/>
      <c r="E62" s="88"/>
      <c r="F62" s="88"/>
      <c r="G62" s="88"/>
      <c r="H62" s="88"/>
      <c r="I62" s="88"/>
      <c r="J62" s="49"/>
    </row>
  </sheetData>
  <mergeCells count="9">
    <mergeCell ref="M27:S27"/>
    <mergeCell ref="M47:S47"/>
    <mergeCell ref="B56:I56"/>
    <mergeCell ref="B62:I62"/>
    <mergeCell ref="B61:I61"/>
    <mergeCell ref="B58:I58"/>
    <mergeCell ref="B57:I57"/>
    <mergeCell ref="B59:I59"/>
    <mergeCell ref="B60:I60"/>
  </mergeCells>
  <conditionalFormatting sqref="C16 C12 G12:G13 K12:K13 K38:K39 K35 K30 K48:K49 K53:K54">
    <cfRule type="cellIs" dxfId="29" priority="17" operator="equal">
      <formula>"√"</formula>
    </cfRule>
    <cfRule type="cellIs" dxfId="28" priority="18" operator="notEqual">
      <formula>"√"</formula>
    </cfRule>
    <cfRule type="cellIs" dxfId="27" priority="19" operator="equal">
      <formula>0</formula>
    </cfRule>
  </conditionalFormatting>
  <conditionalFormatting sqref="N30">
    <cfRule type="cellIs" dxfId="26" priority="10" operator="equal">
      <formula>"√"</formula>
    </cfRule>
    <cfRule type="cellIs" dxfId="25" priority="11" operator="notEqual">
      <formula>"√"</formula>
    </cfRule>
    <cfRule type="cellIs" dxfId="24" priority="12" operator="equal">
      <formula>0</formula>
    </cfRule>
  </conditionalFormatting>
  <conditionalFormatting sqref="N35">
    <cfRule type="cellIs" dxfId="23" priority="7" operator="equal">
      <formula>"√"</formula>
    </cfRule>
    <cfRule type="cellIs" dxfId="22" priority="8" operator="notEqual">
      <formula>"√"</formula>
    </cfRule>
    <cfRule type="cellIs" dxfId="21" priority="9" operator="equal">
      <formula>0</formula>
    </cfRule>
  </conditionalFormatting>
  <conditionalFormatting sqref="N50">
    <cfRule type="cellIs" dxfId="20" priority="4" operator="equal">
      <formula>"√"</formula>
    </cfRule>
    <cfRule type="cellIs" dxfId="19" priority="5" operator="notEqual">
      <formula>"√"</formula>
    </cfRule>
    <cfRule type="cellIs" dxfId="18" priority="6" operator="equal">
      <formula>0</formula>
    </cfRule>
  </conditionalFormatting>
  <conditionalFormatting sqref="N55">
    <cfRule type="cellIs" dxfId="17" priority="1" operator="equal">
      <formula>"√"</formula>
    </cfRule>
    <cfRule type="cellIs" dxfId="16" priority="2" operator="notEqual">
      <formula>"√"</formula>
    </cfRule>
    <cfRule type="cellIs" dxfId="15" priority="3" operator="equal">
      <formula>0</formula>
    </cfRule>
  </conditionalFormatting>
  <dataValidations count="4">
    <dataValidation type="list" operator="equal" allowBlank="1" showErrorMessage="1" sqref="Q49 S54 Q29 S29 S34 S49 Q54 Q34" xr:uid="{00000000-0002-0000-0000-000000000000}">
      <formula1>"yes,no"</formula1>
      <formula2>0</formula2>
    </dataValidation>
    <dataValidation type="list" operator="equal" allowBlank="1" showErrorMessage="1" sqref="D48" xr:uid="{00000000-0002-0000-0000-000003000000}">
      <mc:AlternateContent xmlns:x12ac="http://schemas.microsoft.com/office/spreadsheetml/2011/1/ac" xmlns:mc="http://schemas.openxmlformats.org/markup-compatibility/2006">
        <mc:Choice Requires="x12ac">
          <x12ac:list>IF 10 (5GHz),"IF 11 (2,4GHz)"</x12ac:list>
        </mc:Choice>
        <mc:Fallback>
          <formula1>"IF 10 (5GHz),IF 11 (2,4GHz)"</formula1>
        </mc:Fallback>
      </mc:AlternateContent>
    </dataValidation>
    <dataValidation operator="equal" allowBlank="1" showErrorMessage="1" sqref="S33 S53" xr:uid="{4E673050-B3B1-4A29-87E5-A9671C2218F5}"/>
    <dataValidation type="textLength" allowBlank="1" showInputMessage="1" showErrorMessage="1" prompt="max. 31 characters" sqref="O28 O48 O53 O33" xr:uid="{6DC6CC18-8C74-48C1-B1EE-2060EE27DF9B}">
      <formula1>1</formula1>
      <formula2>31</formula2>
    </dataValidation>
  </dataValidations>
  <pageMargins left="0.78749999999999998" right="0.78749999999999998" top="1.0249999999999999" bottom="1.0249999999999999" header="0.78749999999999998" footer="0.78749999999999998"/>
  <pageSetup paperSize="9" scale="55" orientation="landscape" useFirstPageNumber="1" r:id="rId1"/>
  <headerFooter>
    <oddHeader>&amp;C&amp;A</oddHeader>
    <oddFooter>&amp;CSeite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CF2E63A-1FF8-4A47-BBDC-FACD65099F15}">
          <x14:formula1>
            <xm:f>calc!$A$156:$A$170</xm:f>
          </x14:formula1>
          <xm:sqref>Q28 Q48</xm:sqref>
        </x14:dataValidation>
        <x14:dataValidation type="list" operator="equal" allowBlank="1" showErrorMessage="1" xr:uid="{E8823549-A763-4FFD-AFDF-8EEEC0E8EAB1}">
          <x14:formula1>
            <xm:f>calc!$A$140:$A$152</xm:f>
          </x14:formula1>
          <xm:sqref>Q33 Q53</xm:sqref>
        </x14:dataValidation>
        <x14:dataValidation type="list" allowBlank="1" showInputMessage="1" showErrorMessage="1" xr:uid="{A1511BF7-F9BF-4C86-935C-731CE119094D}">
          <x14:formula1>
            <xm:f>calc!$B$175:$B$413</xm:f>
          </x14:formula1>
          <xm:sqref>F32</xm:sqref>
        </x14:dataValidation>
        <x14:dataValidation type="list" operator="equal" allowBlank="1" showErrorMessage="1" xr:uid="{49691076-54F1-47A4-93F0-4D4C12D527FE}">
          <x14:formula1>
            <xm:f>calc!$E$125:$E$129</xm:f>
          </x14:formula1>
          <xm:sqref>O35 O55 O50 O30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M135"/>
  <sheetViews>
    <sheetView showGridLines="0" zoomScaleNormal="100" workbookViewId="0">
      <selection activeCell="B4" sqref="B4:B44"/>
    </sheetView>
  </sheetViews>
  <sheetFormatPr baseColWidth="10" defaultColWidth="9.140625" defaultRowHeight="12.75" x14ac:dyDescent="0.2"/>
  <cols>
    <col min="1" max="1" width="11.5703125"/>
    <col min="2" max="2" width="69.5703125" style="20" bestFit="1" customWidth="1"/>
    <col min="3" max="4" width="11.5703125"/>
    <col min="5" max="5" width="2.5703125" customWidth="1"/>
    <col min="6" max="1022" width="11.5703125"/>
  </cols>
  <sheetData>
    <row r="3" spans="2:13" ht="12.6" customHeight="1" x14ac:dyDescent="0.2">
      <c r="B3" s="29" t="s">
        <v>94</v>
      </c>
    </row>
    <row r="4" spans="2:13" ht="10.35" customHeight="1" x14ac:dyDescent="0.2">
      <c r="B4" s="21" t="str">
        <f>"REM +---------------------------------------------+"</f>
        <v>REM +---------------------------------------------+</v>
      </c>
    </row>
    <row r="5" spans="2:13" ht="10.35" customHeight="1" x14ac:dyDescent="0.2">
      <c r="B5" s="21" t="s">
        <v>84</v>
      </c>
      <c r="F5" s="58" t="str">
        <f>B3</f>
        <v>C:\autoexec.lsl</v>
      </c>
    </row>
    <row r="6" spans="2:13" ht="10.35" customHeight="1" x14ac:dyDescent="0.2">
      <c r="B6" s="21" t="s">
        <v>30</v>
      </c>
    </row>
    <row r="7" spans="2:13" ht="10.35" customHeight="1" x14ac:dyDescent="0.2">
      <c r="B7" s="21" t="s">
        <v>83</v>
      </c>
    </row>
    <row r="8" spans="2:13" ht="10.35" customHeight="1" x14ac:dyDescent="0.2">
      <c r="B8" s="21" t="s">
        <v>31</v>
      </c>
    </row>
    <row r="9" spans="2:13" ht="10.35" customHeight="1" x14ac:dyDescent="0.2">
      <c r="B9" s="21"/>
      <c r="F9" s="46"/>
      <c r="G9" s="46"/>
      <c r="H9" s="46"/>
      <c r="I9" s="46"/>
      <c r="J9" s="46"/>
      <c r="K9" s="46"/>
      <c r="L9" s="46"/>
      <c r="M9" s="46"/>
    </row>
    <row r="10" spans="2:13" ht="10.35" customHeight="1" x14ac:dyDescent="0.2">
      <c r="B10" s="21" t="s">
        <v>32</v>
      </c>
      <c r="D10" s="45" t="str">
        <f>IF(B4="","",B4)</f>
        <v>REM +---------------------------------------------+</v>
      </c>
      <c r="F10" s="46"/>
      <c r="H10" s="46"/>
      <c r="I10" s="46"/>
      <c r="J10" s="46"/>
      <c r="K10" s="46"/>
      <c r="L10" s="46"/>
      <c r="M10" s="46"/>
    </row>
    <row r="11" spans="2:13" ht="10.35" customHeight="1" x14ac:dyDescent="0.2">
      <c r="B11" s="21" t="s">
        <v>82</v>
      </c>
      <c r="D11" s="45" t="str">
        <f t="shared" ref="D11:D40" si="0">IF(B5="","",B5)</f>
        <v xml:space="preserve">REM |            LASAL OS Installation            |  </v>
      </c>
      <c r="F11" s="46"/>
      <c r="H11" s="46"/>
      <c r="I11" s="46"/>
      <c r="J11" s="46"/>
      <c r="K11" s="46"/>
      <c r="L11" s="46"/>
      <c r="M11" s="46"/>
    </row>
    <row r="12" spans="2:13" ht="10.35" customHeight="1" x14ac:dyDescent="0.2">
      <c r="B12" s="21" t="s">
        <v>31</v>
      </c>
      <c r="D12" s="45" t="str">
        <f t="shared" si="0"/>
        <v xml:space="preserve">REM |    S i g m a t e k   G m b H  &amp; C o K G     |  </v>
      </c>
      <c r="F12" s="46"/>
      <c r="H12" s="46"/>
      <c r="I12" s="46"/>
      <c r="J12" s="46"/>
      <c r="K12" s="46"/>
      <c r="L12" s="46"/>
      <c r="M12" s="46"/>
    </row>
    <row r="13" spans="2:13" ht="10.35" customHeight="1" x14ac:dyDescent="0.2">
      <c r="B13" s="22"/>
      <c r="D13" s="45" t="str">
        <f t="shared" si="0"/>
        <v xml:space="preserve">REM |               www.sigmatek.at               |  </v>
      </c>
      <c r="F13" s="46"/>
      <c r="H13" s="46"/>
      <c r="I13" s="46"/>
      <c r="J13" s="46"/>
      <c r="K13" s="46"/>
      <c r="L13" s="46"/>
      <c r="M13" s="46"/>
    </row>
    <row r="14" spans="2:13" ht="10.35" customHeight="1" x14ac:dyDescent="0.2">
      <c r="B14" s="25" t="s">
        <v>33</v>
      </c>
      <c r="D14" s="45" t="str">
        <f t="shared" si="0"/>
        <v xml:space="preserve">REM +---------------------------------------------+  </v>
      </c>
      <c r="F14" s="46"/>
      <c r="H14" s="46"/>
      <c r="I14" s="46"/>
      <c r="J14" s="46"/>
      <c r="K14" s="46"/>
      <c r="L14" s="46"/>
      <c r="M14" s="46"/>
    </row>
    <row r="15" spans="2:13" ht="10.35" customHeight="1" x14ac:dyDescent="0.2">
      <c r="B15" s="25" t="s">
        <v>34</v>
      </c>
      <c r="D15" s="45" t="str">
        <f t="shared" si="0"/>
        <v/>
      </c>
      <c r="F15" s="46"/>
      <c r="H15" s="46"/>
      <c r="I15" s="46"/>
      <c r="J15" s="46"/>
      <c r="K15" s="46"/>
      <c r="L15" s="46"/>
      <c r="M15" s="46"/>
    </row>
    <row r="16" spans="2:13" ht="10.35" customHeight="1" x14ac:dyDescent="0.2">
      <c r="B16" s="25"/>
      <c r="D16" s="45" t="str">
        <f t="shared" si="0"/>
        <v xml:space="preserve">REM +---------------------------------------------+ </v>
      </c>
      <c r="F16" s="46"/>
      <c r="H16" s="46"/>
      <c r="I16" s="46"/>
      <c r="J16" s="46"/>
      <c r="K16" s="46"/>
      <c r="L16" s="46"/>
      <c r="M16" s="46"/>
    </row>
    <row r="17" spans="2:13" ht="10.35" customHeight="1" x14ac:dyDescent="0.2">
      <c r="B17" s="25" t="s">
        <v>35</v>
      </c>
      <c r="D17" s="45" t="str">
        <f t="shared" si="0"/>
        <v xml:space="preserve">REM |              BWH Configuration              |  </v>
      </c>
      <c r="F17" s="46"/>
      <c r="H17" s="46"/>
      <c r="I17" s="46"/>
      <c r="J17" s="46"/>
      <c r="K17" s="46"/>
      <c r="L17" s="46"/>
      <c r="M17" s="46"/>
    </row>
    <row r="18" spans="2:13" ht="10.35" customHeight="1" x14ac:dyDescent="0.2">
      <c r="B18" s="22"/>
      <c r="D18" s="45" t="str">
        <f t="shared" si="0"/>
        <v xml:space="preserve">REM +---------------------------------------------+  </v>
      </c>
      <c r="F18" s="46"/>
      <c r="H18" s="46"/>
      <c r="I18" s="46"/>
      <c r="J18" s="46"/>
      <c r="K18" s="46"/>
      <c r="L18" s="46"/>
      <c r="M18" s="46"/>
    </row>
    <row r="19" spans="2:13" ht="10.35" customHeight="1" x14ac:dyDescent="0.2">
      <c r="B19" s="22" t="str">
        <f>"SET IP 1 HOSTADDR "&amp;Configuration!L38</f>
        <v>SET IP 1 HOSTADDR 10.10.150.100</v>
      </c>
      <c r="D19" s="45" t="str">
        <f t="shared" si="0"/>
        <v/>
      </c>
      <c r="F19" s="46"/>
      <c r="H19" s="46"/>
      <c r="I19" s="46"/>
      <c r="J19" s="46"/>
      <c r="K19" s="46"/>
      <c r="L19" s="46"/>
      <c r="M19" s="46"/>
    </row>
    <row r="20" spans="2:13" ht="10.35" customHeight="1" x14ac:dyDescent="0.2">
      <c r="B20" s="22" t="str">
        <f>"SET IP 1 SUBNET "&amp;Configuration!L39</f>
        <v>SET IP 1 SUBNET 255.0.0.0</v>
      </c>
      <c r="D20" s="45" t="str">
        <f t="shared" si="0"/>
        <v xml:space="preserve">SET EVENTLOG ON </v>
      </c>
      <c r="F20" s="46"/>
      <c r="H20" s="46"/>
      <c r="I20" s="46"/>
      <c r="J20" s="46"/>
      <c r="K20" s="46"/>
      <c r="L20" s="46"/>
      <c r="M20" s="46"/>
    </row>
    <row r="21" spans="2:13" ht="10.35" customHeight="1" x14ac:dyDescent="0.2">
      <c r="B21" s="22"/>
      <c r="D21" s="45" t="str">
        <f t="shared" si="0"/>
        <v xml:space="preserve">SET OSHEAP 120000  </v>
      </c>
      <c r="F21" s="46"/>
      <c r="H21" s="46"/>
      <c r="I21" s="46"/>
      <c r="J21" s="46"/>
      <c r="K21" s="46"/>
      <c r="L21" s="46"/>
      <c r="M21" s="46"/>
    </row>
    <row r="22" spans="2:13" ht="10.35" customHeight="1" x14ac:dyDescent="0.2">
      <c r="B22" s="25" t="str">
        <f>IF(ISBLANK(Configuration!L41),"","SET IP 2 HOSTADDR "&amp;Configuration!L41)</f>
        <v/>
      </c>
      <c r="C22" s="57" t="s">
        <v>110</v>
      </c>
      <c r="D22" s="45" t="str">
        <f t="shared" si="0"/>
        <v/>
      </c>
      <c r="F22" s="46"/>
      <c r="H22" s="46"/>
      <c r="I22" s="46"/>
      <c r="J22" s="46"/>
      <c r="K22" s="46"/>
      <c r="L22" s="46"/>
      <c r="M22" s="46"/>
    </row>
    <row r="23" spans="2:13" ht="10.35" customHeight="1" x14ac:dyDescent="0.2">
      <c r="B23" s="25" t="str">
        <f>IF(ISBLANK(Configuration!L41),"","SET IP 2 SUBNET "&amp;Configuration!L42)</f>
        <v/>
      </c>
      <c r="C23" s="56" t="s">
        <v>111</v>
      </c>
      <c r="D23" s="45" t="str">
        <f t="shared" si="0"/>
        <v xml:space="preserve">SET CAN 1 BAUD 1 STATION 0  </v>
      </c>
      <c r="F23" s="46"/>
      <c r="H23" s="46"/>
      <c r="I23" s="46"/>
      <c r="J23" s="46"/>
      <c r="K23" s="46"/>
      <c r="L23" s="46"/>
      <c r="M23" s="46"/>
    </row>
    <row r="24" spans="2:13" ht="10.35" customHeight="1" x14ac:dyDescent="0.2">
      <c r="B24" s="25"/>
      <c r="D24" s="45" t="str">
        <f t="shared" si="0"/>
        <v/>
      </c>
      <c r="F24" s="46"/>
      <c r="H24" s="46"/>
      <c r="I24" s="46"/>
      <c r="J24" s="46"/>
      <c r="K24" s="46"/>
      <c r="L24" s="46"/>
      <c r="M24" s="46"/>
    </row>
    <row r="25" spans="2:13" ht="10.35" customHeight="1" x14ac:dyDescent="0.2">
      <c r="B25" s="23"/>
      <c r="D25" s="45" t="str">
        <f t="shared" si="0"/>
        <v>SET IP 1 HOSTADDR 10.10.150.100</v>
      </c>
      <c r="F25" s="46"/>
      <c r="H25" s="46"/>
      <c r="I25" s="46"/>
      <c r="J25" s="46"/>
      <c r="K25" s="46"/>
      <c r="L25" s="46"/>
      <c r="M25" s="84" t="s">
        <v>129</v>
      </c>
    </row>
    <row r="26" spans="2:13" ht="10.35" customHeight="1" x14ac:dyDescent="0.2">
      <c r="B26" s="22"/>
      <c r="D26" s="45" t="str">
        <f t="shared" si="0"/>
        <v>SET IP 1 SUBNET 255.0.0.0</v>
      </c>
      <c r="F26" s="46"/>
      <c r="H26" s="46"/>
      <c r="I26" s="46"/>
      <c r="J26" s="46"/>
      <c r="K26" s="46"/>
      <c r="L26" s="46"/>
      <c r="M26" s="69"/>
    </row>
    <row r="27" spans="2:13" ht="10.35" customHeight="1" x14ac:dyDescent="0.2">
      <c r="B27" s="21" t="s">
        <v>36</v>
      </c>
      <c r="D27" s="45" t="str">
        <f t="shared" si="0"/>
        <v/>
      </c>
      <c r="F27" s="46"/>
      <c r="H27" s="46"/>
      <c r="I27" s="46"/>
      <c r="J27" s="46"/>
      <c r="K27" s="46"/>
      <c r="L27" s="46"/>
      <c r="M27" s="69"/>
    </row>
    <row r="28" spans="2:13" ht="10.35" customHeight="1" x14ac:dyDescent="0.2">
      <c r="B28" s="21" t="s">
        <v>85</v>
      </c>
      <c r="D28" s="45" t="str">
        <f t="shared" si="0"/>
        <v/>
      </c>
      <c r="F28" s="46"/>
      <c r="H28" s="46"/>
      <c r="I28" s="46"/>
      <c r="J28" s="46"/>
      <c r="K28" s="46"/>
      <c r="L28" s="46"/>
      <c r="M28" s="69"/>
    </row>
    <row r="29" spans="2:13" ht="10.35" customHeight="1" x14ac:dyDescent="0.2">
      <c r="B29" s="22" t="str">
        <f>"SET IP 10 HOSTADDR "&amp;Configuration!L28&amp;" SUBNET "&amp;Configuration!L29</f>
        <v>SET IP 10 HOSTADDR 192.168.1.1 SUBNET 255.255.255.0</v>
      </c>
      <c r="D29" s="45" t="str">
        <f t="shared" si="0"/>
        <v/>
      </c>
      <c r="F29" s="46"/>
      <c r="H29" s="46"/>
      <c r="I29" s="46"/>
      <c r="J29" s="46"/>
      <c r="K29" s="46"/>
      <c r="L29" s="46"/>
      <c r="M29" s="69"/>
    </row>
    <row r="30" spans="2:13" ht="10.35" customHeight="1" x14ac:dyDescent="0.2">
      <c r="B30" s="21" t="s">
        <v>86</v>
      </c>
      <c r="D30" s="45" t="str">
        <f t="shared" si="0"/>
        <v/>
      </c>
      <c r="F30" s="46"/>
      <c r="H30" s="46"/>
      <c r="I30" s="46"/>
      <c r="J30" s="46"/>
      <c r="K30" s="46"/>
      <c r="L30" s="46"/>
      <c r="M30" s="69"/>
    </row>
    <row r="31" spans="2:13" ht="10.35" customHeight="1" x14ac:dyDescent="0.2">
      <c r="B31" s="22" t="str">
        <f>"SET IP 11 HOSTADDR "&amp;Configuration!L33&amp;" SUBNET "&amp;Configuration!L34</f>
        <v>SET IP 11 HOSTADDR 192.168.2.1 SUBNET 255.255.255.0</v>
      </c>
      <c r="D31" s="45" t="str">
        <f t="shared" si="0"/>
        <v/>
      </c>
      <c r="F31" s="46"/>
      <c r="H31" s="46"/>
      <c r="I31" s="46"/>
      <c r="J31" s="46"/>
      <c r="K31" s="46"/>
      <c r="L31" s="46"/>
      <c r="M31" s="69"/>
    </row>
    <row r="32" spans="2:13" ht="10.35" customHeight="1" x14ac:dyDescent="0.2">
      <c r="B32" s="22"/>
      <c r="D32" s="45" t="str">
        <f t="shared" si="0"/>
        <v/>
      </c>
      <c r="F32" s="46"/>
      <c r="H32" s="46"/>
      <c r="I32" s="46"/>
      <c r="J32" s="46"/>
      <c r="K32" s="46"/>
      <c r="L32" s="46"/>
      <c r="M32" s="69"/>
    </row>
    <row r="33" spans="2:13" ht="10.35" customHeight="1" x14ac:dyDescent="0.2">
      <c r="B33" s="25" t="s">
        <v>37</v>
      </c>
      <c r="D33" s="45" t="str">
        <f t="shared" si="0"/>
        <v xml:space="preserve">REM WLAN access-point settings - can be removed in case of no WLAN </v>
      </c>
      <c r="F33" s="46"/>
      <c r="H33" s="46"/>
      <c r="I33" s="46"/>
      <c r="J33" s="46"/>
      <c r="K33" s="46"/>
      <c r="L33" s="46"/>
      <c r="M33" s="69"/>
    </row>
    <row r="34" spans="2:13" ht="10.35" customHeight="1" x14ac:dyDescent="0.2">
      <c r="B34" s="25"/>
      <c r="D34" s="45" t="str">
        <f t="shared" si="0"/>
        <v>REM WLAN 5GHz:</v>
      </c>
      <c r="F34" s="46"/>
      <c r="H34" s="46"/>
      <c r="I34" s="46"/>
      <c r="J34" s="46"/>
      <c r="K34" s="46"/>
      <c r="L34" s="46"/>
      <c r="M34" s="69"/>
    </row>
    <row r="35" spans="2:13" ht="10.35" customHeight="1" x14ac:dyDescent="0.2">
      <c r="B35" s="23"/>
      <c r="D35" s="45" t="str">
        <f t="shared" si="0"/>
        <v>SET IP 10 HOSTADDR 192.168.1.1 SUBNET 255.255.255.0</v>
      </c>
      <c r="F35" s="46"/>
      <c r="H35" s="46"/>
      <c r="I35" s="46"/>
      <c r="J35" s="46"/>
      <c r="K35" s="46"/>
      <c r="L35" s="46"/>
      <c r="M35" s="84" t="s">
        <v>130</v>
      </c>
    </row>
    <row r="36" spans="2:13" ht="10.35" customHeight="1" x14ac:dyDescent="0.2">
      <c r="B36" s="23"/>
      <c r="D36" s="45" t="str">
        <f t="shared" si="0"/>
        <v>REM WLAN 2,4GHz:</v>
      </c>
      <c r="F36" s="46"/>
      <c r="H36" s="46"/>
      <c r="I36" s="46"/>
      <c r="J36" s="46"/>
      <c r="K36" s="46"/>
      <c r="L36" s="46"/>
      <c r="M36" s="84" t="s">
        <v>131</v>
      </c>
    </row>
    <row r="37" spans="2:13" ht="10.35" customHeight="1" x14ac:dyDescent="0.2">
      <c r="B37" s="25"/>
      <c r="D37" s="45" t="str">
        <f t="shared" si="0"/>
        <v>SET IP 11 HOSTADDR 192.168.2.1 SUBNET 255.255.255.0</v>
      </c>
      <c r="F37" s="46"/>
      <c r="H37" s="46"/>
      <c r="I37" s="46"/>
      <c r="J37" s="46"/>
      <c r="K37" s="46"/>
      <c r="L37" s="46"/>
      <c r="M37" s="46"/>
    </row>
    <row r="38" spans="2:13" ht="10.35" customHeight="1" x14ac:dyDescent="0.2">
      <c r="B38" s="23"/>
      <c r="D38" s="45" t="str">
        <f t="shared" si="0"/>
        <v/>
      </c>
      <c r="F38" s="46"/>
      <c r="H38" s="46"/>
      <c r="I38" s="46"/>
      <c r="J38" s="46"/>
      <c r="K38" s="46"/>
      <c r="L38" s="46"/>
      <c r="M38" s="46"/>
    </row>
    <row r="39" spans="2:13" x14ac:dyDescent="0.2">
      <c r="B39" s="25" t="s">
        <v>38</v>
      </c>
      <c r="D39" s="45" t="str">
        <f t="shared" si="0"/>
        <v>WLANAP 10 11</v>
      </c>
      <c r="F39" s="46"/>
      <c r="H39" s="46"/>
      <c r="I39" s="46"/>
      <c r="J39" s="46"/>
      <c r="K39" s="46"/>
      <c r="L39" s="46"/>
      <c r="M39" s="46"/>
    </row>
    <row r="40" spans="2:13" x14ac:dyDescent="0.2">
      <c r="B40" s="25" t="s">
        <v>39</v>
      </c>
      <c r="D40" s="45" t="str">
        <f t="shared" si="0"/>
        <v/>
      </c>
      <c r="F40" s="46"/>
      <c r="H40" s="46"/>
      <c r="I40" s="46"/>
      <c r="J40" s="46"/>
      <c r="K40" s="46"/>
      <c r="L40" s="46"/>
      <c r="M40" s="46"/>
    </row>
    <row r="41" spans="2:13" x14ac:dyDescent="0.2">
      <c r="B41" s="23"/>
      <c r="D41" s="45"/>
      <c r="F41" s="46"/>
      <c r="H41" s="46"/>
      <c r="I41" s="46"/>
      <c r="J41" s="46"/>
      <c r="K41" s="46"/>
      <c r="L41" s="46"/>
      <c r="M41" s="46"/>
    </row>
    <row r="42" spans="2:13" ht="10.35" customHeight="1" x14ac:dyDescent="0.2">
      <c r="B42" s="24" t="s">
        <v>40</v>
      </c>
      <c r="D42" s="45"/>
      <c r="F42" s="46"/>
      <c r="H42" s="46"/>
      <c r="I42" s="46"/>
      <c r="J42" s="46"/>
      <c r="K42" s="46"/>
      <c r="L42" s="46"/>
      <c r="M42" s="46"/>
    </row>
    <row r="43" spans="2:13" ht="10.35" customHeight="1" x14ac:dyDescent="0.2">
      <c r="B43" s="24" t="s">
        <v>41</v>
      </c>
      <c r="D43" s="45"/>
      <c r="F43" s="46"/>
      <c r="H43" s="46"/>
      <c r="I43" s="46"/>
      <c r="J43" s="46"/>
      <c r="K43" s="46"/>
      <c r="L43" s="46"/>
      <c r="M43" s="46"/>
    </row>
    <row r="44" spans="2:13" ht="10.35" customHeight="1" x14ac:dyDescent="0.2">
      <c r="B44" s="24" t="s">
        <v>642</v>
      </c>
      <c r="D44" s="45"/>
      <c r="F44" s="46"/>
      <c r="H44" s="46"/>
      <c r="I44" s="46"/>
      <c r="J44" s="46"/>
      <c r="K44" s="46"/>
      <c r="L44" s="46"/>
      <c r="M44" s="46"/>
    </row>
    <row r="45" spans="2:13" ht="10.35" customHeight="1" x14ac:dyDescent="0.2">
      <c r="D45" s="45"/>
      <c r="F45" s="46"/>
      <c r="G45" s="46"/>
      <c r="H45" s="46"/>
      <c r="I45" s="46"/>
      <c r="J45" s="46"/>
      <c r="K45" s="46"/>
      <c r="L45" s="46"/>
      <c r="M45" s="46"/>
    </row>
    <row r="46" spans="2:13" ht="10.35" customHeight="1" x14ac:dyDescent="0.2">
      <c r="D46" s="45"/>
    </row>
    <row r="47" spans="2:13" ht="10.35" customHeight="1" x14ac:dyDescent="0.2">
      <c r="D47" s="45"/>
    </row>
    <row r="48" spans="2:13" ht="10.35" customHeight="1" x14ac:dyDescent="0.2">
      <c r="B48" s="29" t="s">
        <v>42</v>
      </c>
      <c r="D48" s="45"/>
    </row>
    <row r="49" spans="1:6" ht="10.35" customHeight="1" x14ac:dyDescent="0.2">
      <c r="B49" s="21" t="s">
        <v>89</v>
      </c>
      <c r="D49" s="45"/>
    </row>
    <row r="50" spans="1:6" ht="10.35" customHeight="1" x14ac:dyDescent="0.2">
      <c r="B50" s="21" t="s">
        <v>91</v>
      </c>
      <c r="D50" s="45"/>
    </row>
    <row r="51" spans="1:6" ht="10.35" customHeight="1" x14ac:dyDescent="0.2">
      <c r="B51" s="21" t="s">
        <v>89</v>
      </c>
      <c r="D51" s="45"/>
    </row>
    <row r="52" spans="1:6" ht="10.35" customHeight="1" x14ac:dyDescent="0.2">
      <c r="B52" s="21"/>
      <c r="D52" s="45"/>
    </row>
    <row r="53" spans="1:6" ht="10.35" customHeight="1" x14ac:dyDescent="0.2">
      <c r="B53" s="21" t="s">
        <v>72</v>
      </c>
      <c r="C53" s="57" t="s">
        <v>110</v>
      </c>
      <c r="D53" s="45"/>
      <c r="F53" s="58" t="str">
        <f>B48</f>
        <v>C:\lslsys\rsdbd.conf</v>
      </c>
    </row>
    <row r="54" spans="1:6" ht="10.35" customHeight="1" x14ac:dyDescent="0.2">
      <c r="B54" s="25" t="str">
        <f>IF(Configuration!Q29="no","","channel_10 = "&amp;Configuration!S28)</f>
        <v>channel_10 = 36</v>
      </c>
      <c r="C54" s="56" t="s">
        <v>111</v>
      </c>
      <c r="D54" s="45"/>
    </row>
    <row r="55" spans="1:6" ht="10.35" customHeight="1" x14ac:dyDescent="0.2">
      <c r="B55" s="25" t="str">
        <f>IF(Configuration!Q29="no","","bandwidth_10 = "&amp;Configuration!U28)</f>
        <v>bandwidth_10 = 80</v>
      </c>
      <c r="D55" s="45"/>
    </row>
    <row r="56" spans="1:6" ht="10.35" customHeight="1" x14ac:dyDescent="0.2">
      <c r="B56" s="25" t="str">
        <f>IF(Configuration!Q29="no","","key_mgmt_10 = "&amp;calc!F132)</f>
        <v>key_mgmt_10 = WPA-PSK</v>
      </c>
      <c r="D56" s="45"/>
    </row>
    <row r="57" spans="1:6" ht="10.35" customHeight="1" x14ac:dyDescent="0.2">
      <c r="B57" s="25" t="str">
        <f>IF(calc!G132="LEER","",IF(Configuration!Q29="no","","pairwise_10 = "&amp;calc!G132))</f>
        <v>pairwise_10 = CCMP</v>
      </c>
      <c r="D57" s="45"/>
    </row>
    <row r="58" spans="1:6" ht="10.35" customHeight="1" x14ac:dyDescent="0.2">
      <c r="B58" s="25" t="str">
        <f>IF(calc!H132="LEER","",IF(Configuration!Q29="no","","proto_10 = "&amp;calc!H132))</f>
        <v>proto_10 = WPA2</v>
      </c>
      <c r="D58" s="45" t="str">
        <f>IF(B50="","",B50)</f>
        <v># |     Configuration of the Accesspoint (BWH)     |</v>
      </c>
    </row>
    <row r="59" spans="1:6" ht="10.35" customHeight="1" x14ac:dyDescent="0.2">
      <c r="B59" s="22" t="str">
        <f>IF(Configuration!Q29="no","","psk_10 = "&amp;Configuration!O29)</f>
        <v>psk_10 = 12345678</v>
      </c>
      <c r="D59" s="45" t="str">
        <f t="shared" ref="D59:D66" si="1">IF(B51="","",B51)</f>
        <v># +------------------------------------------------+</v>
      </c>
    </row>
    <row r="60" spans="1:6" ht="10.35" customHeight="1" x14ac:dyDescent="0.2">
      <c r="B60" s="22" t="str">
        <f>IF(Configuration!Q29="no","","ssid_10 = "&amp;Configuration!O28)</f>
        <v>ssid_10 = SN05529561_SIG_10</v>
      </c>
      <c r="D60" s="45" t="str">
        <f t="shared" si="1"/>
        <v/>
      </c>
    </row>
    <row r="61" spans="1:6" ht="10.35" customHeight="1" x14ac:dyDescent="0.2">
      <c r="A61" s="62" t="s">
        <v>117</v>
      </c>
      <c r="B61" s="21" t="str">
        <f>IF(Configuration!Q29="no","","# ssid_invisible_10="&amp;IF(Configuration!S29="yes","0","1"))</f>
        <v># ssid_invisible_10=0</v>
      </c>
      <c r="D61" s="45" t="str">
        <f t="shared" si="1"/>
        <v># Parameters for WLAN-AP interface 10 (5G)</v>
      </c>
    </row>
    <row r="62" spans="1:6" ht="10.35" customHeight="1" x14ac:dyDescent="0.2">
      <c r="B62" s="25"/>
      <c r="D62" s="45" t="str">
        <f t="shared" si="1"/>
        <v>channel_10 = 36</v>
      </c>
    </row>
    <row r="63" spans="1:6" ht="10.35" customHeight="1" x14ac:dyDescent="0.2">
      <c r="B63" s="21" t="s">
        <v>73</v>
      </c>
      <c r="D63" s="45" t="str">
        <f t="shared" si="1"/>
        <v>bandwidth_10 = 80</v>
      </c>
    </row>
    <row r="64" spans="1:6" ht="10.35" customHeight="1" x14ac:dyDescent="0.2">
      <c r="B64" s="25" t="str">
        <f>IF(Configuration!Q34="no","","channel_11 = "&amp;Configuration!S33)</f>
        <v>channel_11 = 6</v>
      </c>
      <c r="D64" s="45" t="str">
        <f t="shared" si="1"/>
        <v>key_mgmt_10 = WPA-PSK</v>
      </c>
    </row>
    <row r="65" spans="1:6" ht="10.35" customHeight="1" x14ac:dyDescent="0.2">
      <c r="B65" s="25" t="str">
        <f>IF(Configuration!Q34="no","","bandwidth_11 = "&amp;Configuration!U33)</f>
        <v>bandwidth_11 = 20</v>
      </c>
      <c r="D65" s="45" t="str">
        <f t="shared" si="1"/>
        <v>pairwise_10 = CCMP</v>
      </c>
    </row>
    <row r="66" spans="1:6" ht="10.35" customHeight="1" x14ac:dyDescent="0.2">
      <c r="B66" s="25" t="str">
        <f>IF(Configuration!Q34="no","","key_mgmt_11 = "&amp;calc!F133)</f>
        <v>key_mgmt_11 = WPA-PSK</v>
      </c>
      <c r="D66" s="45" t="str">
        <f t="shared" si="1"/>
        <v>proto_10 = WPA2</v>
      </c>
    </row>
    <row r="67" spans="1:6" ht="10.35" customHeight="1" x14ac:dyDescent="0.2">
      <c r="B67" s="25" t="str">
        <f>IF(calc!G133="LEER","",IF(Configuration!Q34="no","","pairwise_11 = "&amp;calc!G133))</f>
        <v>pairwise_11 = CCMP</v>
      </c>
      <c r="D67" s="45"/>
    </row>
    <row r="68" spans="1:6" ht="10.35" customHeight="1" x14ac:dyDescent="0.2">
      <c r="B68" s="25" t="str">
        <f>IF(calc!H133="LEER","",IF(Configuration!Q34="no","","proto_11 = "&amp;calc!H133))</f>
        <v>proto_11 = WPA2</v>
      </c>
      <c r="D68" s="45"/>
    </row>
    <row r="69" spans="1:6" ht="10.35" customHeight="1" x14ac:dyDescent="0.2">
      <c r="B69" s="22" t="str">
        <f>IF(Configuration!Q34="no","","psk_11 = "&amp;Configuration!O34)</f>
        <v>psk_11 = 12345678</v>
      </c>
      <c r="C69" s="60"/>
      <c r="D69" s="45"/>
    </row>
    <row r="70" spans="1:6" ht="10.35" customHeight="1" x14ac:dyDescent="0.2">
      <c r="B70" s="22" t="str">
        <f>IF(Configuration!Q34="no","","ssid_11 = "&amp;Configuration!O33)</f>
        <v>ssid_11 = SN05529561_SIG_11</v>
      </c>
      <c r="C70" s="60"/>
      <c r="D70" s="45"/>
    </row>
    <row r="71" spans="1:6" ht="10.35" customHeight="1" x14ac:dyDescent="0.2">
      <c r="A71" s="62" t="s">
        <v>117</v>
      </c>
      <c r="B71" s="21" t="str">
        <f>IF(Configuration!Q34="no","","# ssid_invisible_11="&amp;IF(Configuration!S34="yes","0","1"))</f>
        <v># ssid_invisible_11=0</v>
      </c>
      <c r="D71" s="45"/>
    </row>
    <row r="72" spans="1:6" ht="10.35" customHeight="1" x14ac:dyDescent="0.2">
      <c r="B72" s="25"/>
      <c r="D72" s="45"/>
    </row>
    <row r="73" spans="1:6" x14ac:dyDescent="0.2">
      <c r="B73" s="21" t="s">
        <v>75</v>
      </c>
      <c r="D73" s="45"/>
    </row>
    <row r="74" spans="1:6" ht="10.35" customHeight="1" x14ac:dyDescent="0.2">
      <c r="B74" s="25" t="str">
        <f>IF(AND(Configuration!Q29="no",Configuration!Q34="no"),"","country_code = "&amp;UPPER(Configuration!F32))</f>
        <v>country_code = AT</v>
      </c>
      <c r="D74" s="45"/>
    </row>
    <row r="75" spans="1:6" ht="10.35" customHeight="1" x14ac:dyDescent="0.2">
      <c r="B75" s="21" t="s">
        <v>127</v>
      </c>
      <c r="D75" s="45"/>
    </row>
    <row r="76" spans="1:6" ht="10.35" customHeight="1" x14ac:dyDescent="0.2">
      <c r="B76" s="21" t="s">
        <v>128</v>
      </c>
      <c r="D76" s="45"/>
    </row>
    <row r="77" spans="1:6" ht="10.35" customHeight="1" x14ac:dyDescent="0.2">
      <c r="A77" s="63" t="s">
        <v>117</v>
      </c>
      <c r="B77" s="61" t="s">
        <v>118</v>
      </c>
      <c r="D77" s="45"/>
      <c r="F77" s="58" t="str">
        <f>B80</f>
        <v>C:\lslsys\wireless.conf</v>
      </c>
    </row>
    <row r="78" spans="1:6" ht="10.35" customHeight="1" x14ac:dyDescent="0.2">
      <c r="D78" s="45"/>
    </row>
    <row r="79" spans="1:6" ht="10.35" customHeight="1" x14ac:dyDescent="0.2">
      <c r="D79" s="45"/>
    </row>
    <row r="80" spans="1:6" ht="10.35" customHeight="1" x14ac:dyDescent="0.2">
      <c r="B80" s="29" t="s">
        <v>43</v>
      </c>
      <c r="D80" s="45"/>
    </row>
    <row r="81" spans="1:6" ht="10.35" customHeight="1" x14ac:dyDescent="0.2">
      <c r="B81" s="21" t="s">
        <v>89</v>
      </c>
      <c r="D81" s="45"/>
    </row>
    <row r="82" spans="1:6" ht="10.35" customHeight="1" x14ac:dyDescent="0.2">
      <c r="B82" s="21" t="s">
        <v>90</v>
      </c>
      <c r="C82" s="57" t="s">
        <v>110</v>
      </c>
      <c r="D82" s="45" t="str">
        <f>IF(B82="","",B82)</f>
        <v># |  Configuration of the WLAN-Client IP10 (5GHz)  |</v>
      </c>
    </row>
    <row r="83" spans="1:6" ht="10.35" customHeight="1" x14ac:dyDescent="0.2">
      <c r="B83" s="21" t="s">
        <v>89</v>
      </c>
      <c r="C83" s="56" t="s">
        <v>111</v>
      </c>
      <c r="D83" s="45" t="str">
        <f t="shared" ref="D83:D91" si="2">IF(B83="","",B83)</f>
        <v># +------------------------------------------------+</v>
      </c>
    </row>
    <row r="84" spans="1:6" ht="10.35" customHeight="1" x14ac:dyDescent="0.2">
      <c r="B84" s="21"/>
      <c r="D84" s="45" t="str">
        <f t="shared" si="2"/>
        <v/>
      </c>
    </row>
    <row r="85" spans="1:6" ht="10.35" customHeight="1" x14ac:dyDescent="0.2">
      <c r="B85" s="24" t="s">
        <v>44</v>
      </c>
      <c r="D85" s="45" t="str">
        <f t="shared" si="2"/>
        <v>ctrl_interface=/var/run/wpa_supplicant</v>
      </c>
    </row>
    <row r="86" spans="1:6" ht="10.35" customHeight="1" x14ac:dyDescent="0.2">
      <c r="B86" s="24" t="s">
        <v>45</v>
      </c>
      <c r="D86" s="45" t="str">
        <f t="shared" si="2"/>
        <v>update_config=1</v>
      </c>
    </row>
    <row r="87" spans="1:6" ht="10.35" customHeight="1" x14ac:dyDescent="0.2">
      <c r="B87" s="26"/>
      <c r="D87" s="45" t="str">
        <f t="shared" si="2"/>
        <v/>
      </c>
    </row>
    <row r="88" spans="1:6" ht="10.35" customHeight="1" x14ac:dyDescent="0.2">
      <c r="B88" s="25" t="str">
        <f>IF(Configuration!Q29="yes","","network={")</f>
        <v/>
      </c>
      <c r="D88" s="45" t="str">
        <f t="shared" si="2"/>
        <v/>
      </c>
    </row>
    <row r="89" spans="1:6" ht="10.35" customHeight="1" x14ac:dyDescent="0.2">
      <c r="B89" s="25" t="str">
        <f>IF(Configuration!Q29="yes","","   ssid="""&amp;Configuration!O48&amp;"""")</f>
        <v/>
      </c>
      <c r="D89" s="45" t="str">
        <f t="shared" si="2"/>
        <v/>
      </c>
    </row>
    <row r="90" spans="1:6" ht="10.35" customHeight="1" x14ac:dyDescent="0.2">
      <c r="B90" s="25" t="str">
        <f>IF(Configuration!Q29="yes","","   psk="""&amp;Configuration!O29&amp;"""")</f>
        <v/>
      </c>
      <c r="D90" s="45" t="str">
        <f t="shared" si="2"/>
        <v/>
      </c>
    </row>
    <row r="91" spans="1:6" ht="10.35" customHeight="1" x14ac:dyDescent="0.2">
      <c r="B91" s="25" t="str">
        <f>IF(calc!H132="LEER","",IF(Configuration!Q29="yes","","   proto="&amp;calc!H132))</f>
        <v/>
      </c>
      <c r="D91" s="45" t="str">
        <f t="shared" si="2"/>
        <v/>
      </c>
    </row>
    <row r="92" spans="1:6" ht="10.35" customHeight="1" x14ac:dyDescent="0.2">
      <c r="B92" s="25" t="str">
        <f>IF(Configuration!Q29="yes","","   key_mgmt="&amp;calc!F132)</f>
        <v/>
      </c>
      <c r="D92" s="45"/>
    </row>
    <row r="93" spans="1:6" ht="9.75" customHeight="1" x14ac:dyDescent="0.2">
      <c r="B93" s="25" t="str">
        <f>IF(calc!G132="LEER","",IF(Configuration!Q29="yes","","   pairwise="&amp;calc!G132))</f>
        <v/>
      </c>
      <c r="D93" s="45"/>
    </row>
    <row r="94" spans="1:6" ht="8.25" customHeight="1" x14ac:dyDescent="0.2">
      <c r="B94" s="25" t="str">
        <f>IF(Configuration!Q29="yes","","#  group=CCMP")</f>
        <v/>
      </c>
      <c r="D94" s="45"/>
    </row>
    <row r="95" spans="1:6" ht="10.35" customHeight="1" x14ac:dyDescent="0.2">
      <c r="B95" s="64" t="str">
        <f>IF(Configuration!Q29="yes","","#  disabled="&amp;IF(Configuration!Q29="yes","0","1"))</f>
        <v/>
      </c>
      <c r="D95" s="45"/>
    </row>
    <row r="96" spans="1:6" ht="10.35" customHeight="1" x14ac:dyDescent="0.2">
      <c r="A96" s="62" t="s">
        <v>117</v>
      </c>
      <c r="B96" s="64" t="str">
        <f>IF(Configuration!Q29="yes","","#  scan_ssid="&amp;IF(Configuration!S29="yes","0","1"))</f>
        <v/>
      </c>
      <c r="D96" s="45"/>
      <c r="F96" s="58" t="str">
        <f>B101</f>
        <v>C:\lslsys\wireless2.conf</v>
      </c>
    </row>
    <row r="97" spans="1:4" ht="10.35" customHeight="1" x14ac:dyDescent="0.2">
      <c r="B97" s="25" t="str">
        <f>IF(Configuration!Q29="yes","","}")</f>
        <v/>
      </c>
      <c r="D97" s="45"/>
    </row>
    <row r="98" spans="1:4" ht="10.35" customHeight="1" x14ac:dyDescent="0.2">
      <c r="A98" s="63" t="s">
        <v>117</v>
      </c>
      <c r="B98" s="61" t="s">
        <v>118</v>
      </c>
      <c r="D98" s="45"/>
    </row>
    <row r="99" spans="1:4" ht="10.35" customHeight="1" x14ac:dyDescent="0.2">
      <c r="D99" s="45"/>
    </row>
    <row r="100" spans="1:4" ht="10.35" customHeight="1" x14ac:dyDescent="0.2">
      <c r="D100" s="45"/>
    </row>
    <row r="101" spans="1:4" ht="10.35" customHeight="1" x14ac:dyDescent="0.2">
      <c r="B101" s="29" t="s">
        <v>46</v>
      </c>
      <c r="D101" s="45" t="str">
        <f>IF(B103="","",B103)</f>
        <v># | Configuration of the WLAN-Client IP11 (2.4GHz) |</v>
      </c>
    </row>
    <row r="102" spans="1:4" ht="10.35" customHeight="1" x14ac:dyDescent="0.2">
      <c r="B102" s="21" t="s">
        <v>89</v>
      </c>
      <c r="C102" s="57" t="s">
        <v>110</v>
      </c>
      <c r="D102" s="45" t="str">
        <f t="shared" ref="D102:D110" si="3">IF(B104="","",B104)</f>
        <v># +------------------------------------------------+</v>
      </c>
    </row>
    <row r="103" spans="1:4" ht="10.35" customHeight="1" x14ac:dyDescent="0.2">
      <c r="B103" s="21" t="s">
        <v>88</v>
      </c>
      <c r="C103" s="56" t="s">
        <v>111</v>
      </c>
      <c r="D103" s="45" t="str">
        <f t="shared" si="3"/>
        <v/>
      </c>
    </row>
    <row r="104" spans="1:4" ht="10.35" customHeight="1" x14ac:dyDescent="0.2">
      <c r="B104" s="21" t="s">
        <v>89</v>
      </c>
      <c r="D104" s="45" t="str">
        <f t="shared" si="3"/>
        <v>ctrl_interface=/var/run/wpa_supplicant</v>
      </c>
    </row>
    <row r="105" spans="1:4" ht="10.35" customHeight="1" x14ac:dyDescent="0.2">
      <c r="B105" s="21"/>
      <c r="D105" s="45" t="str">
        <f t="shared" si="3"/>
        <v>update_config=1</v>
      </c>
    </row>
    <row r="106" spans="1:4" ht="10.35" customHeight="1" x14ac:dyDescent="0.2">
      <c r="B106" s="24" t="s">
        <v>44</v>
      </c>
      <c r="D106" s="45" t="str">
        <f t="shared" si="3"/>
        <v/>
      </c>
    </row>
    <row r="107" spans="1:4" ht="10.35" customHeight="1" x14ac:dyDescent="0.2">
      <c r="B107" s="24" t="s">
        <v>45</v>
      </c>
      <c r="D107" s="45" t="str">
        <f t="shared" si="3"/>
        <v/>
      </c>
    </row>
    <row r="108" spans="1:4" ht="10.35" customHeight="1" x14ac:dyDescent="0.2">
      <c r="B108" s="26"/>
      <c r="D108" s="45" t="str">
        <f t="shared" si="3"/>
        <v/>
      </c>
    </row>
    <row r="109" spans="1:4" ht="10.35" customHeight="1" x14ac:dyDescent="0.2">
      <c r="B109" s="25" t="str">
        <f>IF(Configuration!Q34="yes","","network={")</f>
        <v/>
      </c>
      <c r="D109" s="45" t="str">
        <f t="shared" si="3"/>
        <v/>
      </c>
    </row>
    <row r="110" spans="1:4" ht="10.35" customHeight="1" x14ac:dyDescent="0.2">
      <c r="B110" s="25" t="str">
        <f>IF(Configuration!Q34="yes","","   ssid="""&amp;Configuration!O53&amp;"""")</f>
        <v/>
      </c>
      <c r="D110" s="45" t="str">
        <f t="shared" si="3"/>
        <v/>
      </c>
    </row>
    <row r="111" spans="1:4" ht="10.35" customHeight="1" x14ac:dyDescent="0.2">
      <c r="B111" s="25" t="str">
        <f>IF(Configuration!Q34="yes","","   psk="""&amp;Configuration!O34&amp;"""")</f>
        <v/>
      </c>
      <c r="D111" s="45"/>
    </row>
    <row r="112" spans="1:4" ht="10.35" customHeight="1" x14ac:dyDescent="0.2">
      <c r="B112" s="25" t="str">
        <f>IF(calc!H133="LEER","",IF(Configuration!Q34="yes","","   proto="&amp;calc!H133))</f>
        <v/>
      </c>
      <c r="D112" s="45"/>
    </row>
    <row r="113" spans="1:4" ht="10.35" customHeight="1" x14ac:dyDescent="0.2">
      <c r="B113" s="25" t="str">
        <f>IF(Configuration!Q34="yes","","   key_mgmt="&amp;calc!F133)</f>
        <v/>
      </c>
      <c r="C113" s="32"/>
      <c r="D113" s="45"/>
    </row>
    <row r="114" spans="1:4" ht="10.35" customHeight="1" x14ac:dyDescent="0.2">
      <c r="B114" s="25" t="str">
        <f>IF(calc!G133="LEER","",IF(Configuration!Q34="yes","","   pairwise="&amp;calc!G133))</f>
        <v/>
      </c>
      <c r="C114" s="32"/>
      <c r="D114" s="45"/>
    </row>
    <row r="115" spans="1:4" ht="10.35" customHeight="1" x14ac:dyDescent="0.2">
      <c r="B115" s="25" t="str">
        <f>IF(Configuration!Q34="yes","","#  group=CCMP")</f>
        <v/>
      </c>
      <c r="C115" s="32"/>
      <c r="D115" s="45"/>
    </row>
    <row r="116" spans="1:4" x14ac:dyDescent="0.2">
      <c r="B116" s="64" t="str">
        <f>IF(Configuration!Q34="yes","","#  disabled="&amp;IF(Configuration!Q34="yes","0","1"))</f>
        <v/>
      </c>
      <c r="D116" s="45"/>
    </row>
    <row r="117" spans="1:4" ht="9.75" customHeight="1" x14ac:dyDescent="0.2">
      <c r="A117" s="62" t="s">
        <v>117</v>
      </c>
      <c r="B117" s="64" t="str">
        <f>IF(Configuration!Q34="yes","","#  scan_ssid="&amp;IF(Configuration!S34="yes","0","1"))</f>
        <v/>
      </c>
      <c r="D117" s="45"/>
    </row>
    <row r="118" spans="1:4" ht="9.75" customHeight="1" x14ac:dyDescent="0.2">
      <c r="B118" s="25" t="str">
        <f>IF(Configuration!Q34="yes","","}")</f>
        <v/>
      </c>
      <c r="D118" s="45"/>
    </row>
    <row r="119" spans="1:4" ht="9.75" customHeight="1" x14ac:dyDescent="0.2">
      <c r="A119" s="63" t="s">
        <v>117</v>
      </c>
      <c r="B119" s="61" t="s">
        <v>118</v>
      </c>
      <c r="D119" s="45"/>
    </row>
    <row r="120" spans="1:4" ht="9.75" customHeight="1" x14ac:dyDescent="0.2">
      <c r="B120" s="33"/>
      <c r="D120" s="45"/>
    </row>
    <row r="121" spans="1:4" x14ac:dyDescent="0.2">
      <c r="B121" s="33"/>
      <c r="D121" s="45"/>
    </row>
    <row r="122" spans="1:4" x14ac:dyDescent="0.2">
      <c r="D122" s="45"/>
    </row>
    <row r="123" spans="1:4" x14ac:dyDescent="0.2">
      <c r="D123" s="45"/>
    </row>
    <row r="124" spans="1:4" x14ac:dyDescent="0.2">
      <c r="D124" s="45"/>
    </row>
    <row r="125" spans="1:4" x14ac:dyDescent="0.2">
      <c r="D125" s="45"/>
    </row>
    <row r="126" spans="1:4" x14ac:dyDescent="0.2">
      <c r="D126" s="45"/>
    </row>
    <row r="127" spans="1:4" x14ac:dyDescent="0.2">
      <c r="D127" s="45"/>
    </row>
    <row r="128" spans="1:4" x14ac:dyDescent="0.2">
      <c r="D128" s="45"/>
    </row>
    <row r="129" spans="4:4" x14ac:dyDescent="0.2">
      <c r="D129" s="45"/>
    </row>
    <row r="130" spans="4:4" x14ac:dyDescent="0.2">
      <c r="D130" s="45"/>
    </row>
    <row r="131" spans="4:4" x14ac:dyDescent="0.2">
      <c r="D131" s="45"/>
    </row>
    <row r="132" spans="4:4" x14ac:dyDescent="0.2">
      <c r="D132" s="45"/>
    </row>
    <row r="133" spans="4:4" x14ac:dyDescent="0.2">
      <c r="D133" s="45"/>
    </row>
    <row r="134" spans="4:4" x14ac:dyDescent="0.2">
      <c r="D134" s="45"/>
    </row>
    <row r="135" spans="4:4" x14ac:dyDescent="0.2">
      <c r="D135" s="45"/>
    </row>
  </sheetData>
  <pageMargins left="0.78749999999999998" right="0.78749999999999998" top="1.0249999999999999" bottom="1.0249999999999999" header="0.78749999999999998" footer="0.78749999999999998"/>
  <pageSetup paperSize="9" scale="34" orientation="portrait" r:id="rId1"/>
  <headerFooter>
    <oddHeader>&amp;C&amp;A</oddHeader>
    <oddFooter>&amp;CSeite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6"/>
  <sheetViews>
    <sheetView showGridLines="0" zoomScaleNormal="100" workbookViewId="0">
      <selection activeCell="B4" sqref="B4:B29"/>
    </sheetView>
  </sheetViews>
  <sheetFormatPr baseColWidth="10" defaultColWidth="9.140625" defaultRowHeight="12.75" x14ac:dyDescent="0.2"/>
  <cols>
    <col min="1" max="1" width="11.5703125"/>
    <col min="2" max="2" width="65.7109375" style="20" customWidth="1"/>
    <col min="3" max="4" width="11.5703125"/>
    <col min="5" max="5" width="2.28515625" customWidth="1"/>
    <col min="6" max="1022" width="11.5703125"/>
  </cols>
  <sheetData>
    <row r="1" spans="2:6" x14ac:dyDescent="0.2">
      <c r="D1" s="45"/>
    </row>
    <row r="2" spans="2:6" x14ac:dyDescent="0.2">
      <c r="D2" s="45"/>
    </row>
    <row r="3" spans="2:6" ht="12.6" customHeight="1" x14ac:dyDescent="0.2">
      <c r="B3" s="29" t="s">
        <v>94</v>
      </c>
      <c r="D3" s="45"/>
    </row>
    <row r="4" spans="2:6" ht="10.35" customHeight="1" x14ac:dyDescent="0.2">
      <c r="B4" s="21" t="str">
        <f>"REM +---------------------------------------------+"</f>
        <v>REM +---------------------------------------------+</v>
      </c>
      <c r="D4" s="45"/>
      <c r="F4" s="58" t="str">
        <f>B3</f>
        <v>C:\autoexec.lsl</v>
      </c>
    </row>
    <row r="5" spans="2:6" ht="10.35" customHeight="1" x14ac:dyDescent="0.2">
      <c r="B5" s="21" t="s">
        <v>84</v>
      </c>
      <c r="D5" s="45"/>
      <c r="F5" s="58"/>
    </row>
    <row r="6" spans="2:6" ht="10.35" customHeight="1" x14ac:dyDescent="0.2">
      <c r="B6" s="21" t="s">
        <v>30</v>
      </c>
      <c r="D6" s="45"/>
    </row>
    <row r="7" spans="2:6" ht="10.35" customHeight="1" x14ac:dyDescent="0.2">
      <c r="B7" s="21" t="s">
        <v>83</v>
      </c>
      <c r="D7" s="45"/>
    </row>
    <row r="8" spans="2:6" ht="10.35" customHeight="1" x14ac:dyDescent="0.2">
      <c r="B8" s="21" t="s">
        <v>31</v>
      </c>
      <c r="D8" s="45"/>
    </row>
    <row r="9" spans="2:6" ht="10.35" customHeight="1" x14ac:dyDescent="0.2">
      <c r="B9" s="21"/>
      <c r="D9" s="45" t="str">
        <f>IF(B11="","",B11)</f>
        <v xml:space="preserve">REM |              HGW Configuration              |  </v>
      </c>
    </row>
    <row r="10" spans="2:6" ht="10.35" customHeight="1" x14ac:dyDescent="0.2">
      <c r="B10" s="21" t="s">
        <v>32</v>
      </c>
      <c r="D10" s="45" t="str">
        <f t="shared" ref="D10:D17" si="0">IF(B12="","",B12)</f>
        <v xml:space="preserve">REM +---------------------------------------------+  </v>
      </c>
    </row>
    <row r="11" spans="2:6" ht="10.35" customHeight="1" x14ac:dyDescent="0.2">
      <c r="B11" s="21" t="s">
        <v>81</v>
      </c>
      <c r="D11" s="45" t="str">
        <f t="shared" si="0"/>
        <v/>
      </c>
    </row>
    <row r="12" spans="2:6" ht="10.35" customHeight="1" x14ac:dyDescent="0.2">
      <c r="B12" s="21" t="s">
        <v>31</v>
      </c>
      <c r="D12" s="45" t="str">
        <f t="shared" si="0"/>
        <v>SET EVENTLOG ON</v>
      </c>
    </row>
    <row r="13" spans="2:6" ht="10.35" customHeight="1" x14ac:dyDescent="0.2">
      <c r="B13" s="22"/>
      <c r="C13" s="57" t="s">
        <v>110</v>
      </c>
      <c r="D13" s="45" t="str">
        <f t="shared" si="0"/>
        <v>SET OSHEAP 200000</v>
      </c>
    </row>
    <row r="14" spans="2:6" ht="10.35" customHeight="1" x14ac:dyDescent="0.2">
      <c r="B14" s="25" t="s">
        <v>47</v>
      </c>
      <c r="C14" s="56" t="s">
        <v>111</v>
      </c>
      <c r="D14" s="45" t="str">
        <f t="shared" si="0"/>
        <v/>
      </c>
    </row>
    <row r="15" spans="2:6" ht="10.35" customHeight="1" x14ac:dyDescent="0.2">
      <c r="B15" s="25" t="s">
        <v>77</v>
      </c>
      <c r="D15" s="45" t="str">
        <f t="shared" si="0"/>
        <v>SET CAN 1 BAUD 1 STATION 0</v>
      </c>
    </row>
    <row r="16" spans="2:6" ht="10.35" customHeight="1" x14ac:dyDescent="0.2">
      <c r="B16" s="23"/>
      <c r="D16" s="45" t="str">
        <f t="shared" si="0"/>
        <v/>
      </c>
    </row>
    <row r="17" spans="2:4" ht="10.35" customHeight="1" x14ac:dyDescent="0.2">
      <c r="B17" s="22" t="s">
        <v>48</v>
      </c>
      <c r="D17" s="45" t="str">
        <f t="shared" si="0"/>
        <v>SET IP 10 HOSTADDR 192.168.1.2 SUBNET 255.255.255.0</v>
      </c>
    </row>
    <row r="18" spans="2:4" ht="10.35" customHeight="1" x14ac:dyDescent="0.2">
      <c r="B18" s="22"/>
      <c r="D18" s="45"/>
    </row>
    <row r="19" spans="2:4" ht="10.35" customHeight="1" x14ac:dyDescent="0.2">
      <c r="B19" s="22" t="str">
        <f>"SET IP 10 HOSTADDR " &amp; Configuration!L48 &amp; " SUBNET " &amp; Configuration!L49</f>
        <v>SET IP 10 HOSTADDR 192.168.1.2 SUBNET 255.255.255.0</v>
      </c>
      <c r="D19" s="45"/>
    </row>
    <row r="20" spans="2:4" ht="10.35" customHeight="1" x14ac:dyDescent="0.2">
      <c r="B20" s="22" t="str">
        <f>"SET IP 10 GATEWAY " &amp; Configuration!L50</f>
        <v>SET IP 10 GATEWAY 192.168.1.1</v>
      </c>
      <c r="D20" s="45"/>
    </row>
    <row r="21" spans="2:4" ht="10.35" customHeight="1" x14ac:dyDescent="0.2">
      <c r="B21" s="21"/>
      <c r="D21" s="45"/>
    </row>
    <row r="22" spans="2:4" ht="10.35" customHeight="1" x14ac:dyDescent="0.2">
      <c r="B22" s="22" t="str">
        <f>"SET IP 11 HOSTADDR " &amp; Configuration!L53 &amp; " SUBNET " &amp; Configuration!L54</f>
        <v>SET IP 11 HOSTADDR 192.168.2.2 SUBNET 255.255.255.0</v>
      </c>
      <c r="D22" s="45"/>
    </row>
    <row r="23" spans="2:4" ht="10.35" customHeight="1" x14ac:dyDescent="0.2">
      <c r="B23" s="22"/>
      <c r="D23" s="45"/>
    </row>
    <row r="24" spans="2:4" s="37" customFormat="1" ht="10.35" customHeight="1" x14ac:dyDescent="0.2">
      <c r="B24" s="25" t="s">
        <v>49</v>
      </c>
      <c r="D24" s="45"/>
    </row>
    <row r="25" spans="2:4" ht="10.35" customHeight="1" x14ac:dyDescent="0.2">
      <c r="B25" s="25" t="s">
        <v>50</v>
      </c>
      <c r="D25" s="45"/>
    </row>
    <row r="26" spans="2:4" ht="10.35" customHeight="1" x14ac:dyDescent="0.2">
      <c r="B26" s="23"/>
      <c r="D26" s="45"/>
    </row>
    <row r="27" spans="2:4" ht="10.35" customHeight="1" x14ac:dyDescent="0.2">
      <c r="B27" s="24" t="s">
        <v>51</v>
      </c>
      <c r="D27" s="45"/>
    </row>
    <row r="28" spans="2:4" ht="10.35" customHeight="1" x14ac:dyDescent="0.2">
      <c r="B28" s="24" t="s">
        <v>52</v>
      </c>
      <c r="D28" s="45"/>
    </row>
    <row r="29" spans="2:4" ht="10.35" customHeight="1" x14ac:dyDescent="0.2">
      <c r="B29" s="24" t="s">
        <v>642</v>
      </c>
      <c r="D29" s="45"/>
    </row>
    <row r="30" spans="2:4" x14ac:dyDescent="0.2">
      <c r="D30" s="45"/>
    </row>
    <row r="31" spans="2:4" x14ac:dyDescent="0.2">
      <c r="D31" s="45"/>
    </row>
    <row r="32" spans="2:4" x14ac:dyDescent="0.2">
      <c r="D32" s="45"/>
    </row>
    <row r="33" spans="2:6" x14ac:dyDescent="0.2">
      <c r="B33" s="29" t="s">
        <v>43</v>
      </c>
      <c r="D33" s="45"/>
    </row>
    <row r="34" spans="2:6" x14ac:dyDescent="0.2">
      <c r="B34" s="21" t="s">
        <v>89</v>
      </c>
      <c r="D34" s="45"/>
    </row>
    <row r="35" spans="2:6" x14ac:dyDescent="0.2">
      <c r="B35" s="21" t="s">
        <v>90</v>
      </c>
      <c r="D35" s="45"/>
    </row>
    <row r="36" spans="2:6" x14ac:dyDescent="0.2">
      <c r="B36" s="21" t="s">
        <v>89</v>
      </c>
      <c r="D36" s="45"/>
    </row>
    <row r="37" spans="2:6" x14ac:dyDescent="0.2">
      <c r="B37" s="21"/>
      <c r="D37" s="45"/>
      <c r="F37" s="58" t="str">
        <f>B33</f>
        <v>C:\lslsys\wireless.conf</v>
      </c>
    </row>
    <row r="38" spans="2:6" x14ac:dyDescent="0.2">
      <c r="B38" s="21" t="s">
        <v>93</v>
      </c>
      <c r="D38" s="45"/>
      <c r="F38" s="58"/>
    </row>
    <row r="39" spans="2:6" x14ac:dyDescent="0.2">
      <c r="B39" s="24" t="s">
        <v>44</v>
      </c>
      <c r="D39" s="45"/>
    </row>
    <row r="40" spans="2:6" x14ac:dyDescent="0.2">
      <c r="B40" s="24" t="s">
        <v>45</v>
      </c>
      <c r="D40" s="45"/>
    </row>
    <row r="41" spans="2:6" x14ac:dyDescent="0.2">
      <c r="B41" s="26"/>
      <c r="C41" s="57" t="s">
        <v>110</v>
      </c>
      <c r="D41" s="45" t="str">
        <f>IF(B35="","",B35)</f>
        <v># |  Configuration of the WLAN-Client IP10 (5GHz)  |</v>
      </c>
    </row>
    <row r="42" spans="2:6" x14ac:dyDescent="0.2">
      <c r="B42" s="21" t="s">
        <v>53</v>
      </c>
      <c r="C42" s="56" t="s">
        <v>111</v>
      </c>
      <c r="D42" s="45" t="str">
        <f t="shared" ref="D42:D47" si="1">IF(B36="","",B36)</f>
        <v># +------------------------------------------------+</v>
      </c>
    </row>
    <row r="43" spans="2:6" x14ac:dyDescent="0.2">
      <c r="B43" s="24" t="str">
        <f>IF(Configuration!Q49="yes","","network={")</f>
        <v>network={</v>
      </c>
      <c r="D43" s="45" t="str">
        <f t="shared" si="1"/>
        <v/>
      </c>
    </row>
    <row r="44" spans="2:6" x14ac:dyDescent="0.2">
      <c r="B44" s="25" t="str">
        <f>IF(Configuration!Q49="yes","","   ssid="""&amp;Configuration!O28&amp;"""")</f>
        <v xml:space="preserve">   ssid="SN05529561_SIG_10"</v>
      </c>
      <c r="D44" s="45" t="str">
        <f t="shared" si="1"/>
        <v># NOTE: First Line is important !</v>
      </c>
    </row>
    <row r="45" spans="2:6" x14ac:dyDescent="0.2">
      <c r="B45" s="25" t="str">
        <f>IF(Configuration!Q49="yes","","   psk="""&amp;Configuration!O29&amp;"""")</f>
        <v xml:space="preserve">   psk="12345678"</v>
      </c>
      <c r="D45" s="45" t="str">
        <f t="shared" si="1"/>
        <v>ctrl_interface=/var/run/wpa_supplicant</v>
      </c>
    </row>
    <row r="46" spans="2:6" x14ac:dyDescent="0.2">
      <c r="B46" s="25" t="str">
        <f>IF(calc!H134="LEER","",IF(Configuration!Q49="yes","","   proto="&amp;calc!H134))</f>
        <v xml:space="preserve">   proto=WPA2</v>
      </c>
      <c r="D46" s="45" t="str">
        <f t="shared" si="1"/>
        <v>update_config=1</v>
      </c>
    </row>
    <row r="47" spans="2:6" x14ac:dyDescent="0.2">
      <c r="B47" s="25" t="str">
        <f>IF(Configuration!Q49="yes","","   key_mgmt="&amp;calc!F134)</f>
        <v xml:space="preserve">   key_mgmt=WPA-PSK</v>
      </c>
      <c r="D47" s="45" t="str">
        <f t="shared" si="1"/>
        <v/>
      </c>
    </row>
    <row r="48" spans="2:6" x14ac:dyDescent="0.2">
      <c r="B48" s="25" t="str">
        <f>IF(calc!G134="LEER","",IF(Configuration!Q49="yes","","   pairwise="&amp;calc!G134))</f>
        <v xml:space="preserve">   pairwise=CCMP</v>
      </c>
      <c r="D48" s="45"/>
    </row>
    <row r="49" spans="1:6" x14ac:dyDescent="0.2">
      <c r="B49" s="64" t="str">
        <f>IF(Configuration!Q49="yes","","#  group=CCMP")</f>
        <v>#  group=CCMP</v>
      </c>
      <c r="D49" s="45"/>
    </row>
    <row r="50" spans="1:6" x14ac:dyDescent="0.2">
      <c r="B50" s="50" t="str">
        <f>IF(Configuration!Q49="yes","",IF(Configuration!Q49="yes","","#  disabled=1"))</f>
        <v>#  disabled=1</v>
      </c>
      <c r="D50" s="45"/>
    </row>
    <row r="51" spans="1:6" x14ac:dyDescent="0.2">
      <c r="A51" s="62" t="s">
        <v>117</v>
      </c>
      <c r="B51" s="21" t="str">
        <f>IF(Configuration!Q49="yes","","#  scan_ssid="&amp;IF(Configuration!S49="yes","0","1"))</f>
        <v>#  scan_ssid=0</v>
      </c>
      <c r="D51" s="45"/>
    </row>
    <row r="52" spans="1:6" x14ac:dyDescent="0.2">
      <c r="B52" s="24" t="str">
        <f>IF(Configuration!Q49="yes","","}")</f>
        <v>}</v>
      </c>
      <c r="D52" s="45"/>
    </row>
    <row r="53" spans="1:6" x14ac:dyDescent="0.2">
      <c r="A53" s="63" t="s">
        <v>117</v>
      </c>
      <c r="B53" s="61" t="s">
        <v>118</v>
      </c>
      <c r="D53" s="45"/>
    </row>
    <row r="54" spans="1:6" x14ac:dyDescent="0.2">
      <c r="D54" s="45"/>
    </row>
    <row r="55" spans="1:6" x14ac:dyDescent="0.2">
      <c r="D55" s="45"/>
    </row>
    <row r="56" spans="1:6" x14ac:dyDescent="0.2">
      <c r="B56" s="29" t="s">
        <v>46</v>
      </c>
      <c r="D56" s="45"/>
    </row>
    <row r="57" spans="1:6" x14ac:dyDescent="0.2">
      <c r="B57" s="21" t="s">
        <v>89</v>
      </c>
      <c r="D57" s="45"/>
    </row>
    <row r="58" spans="1:6" x14ac:dyDescent="0.2">
      <c r="B58" s="21" t="s">
        <v>88</v>
      </c>
      <c r="D58" s="45"/>
    </row>
    <row r="59" spans="1:6" x14ac:dyDescent="0.2">
      <c r="B59" s="21" t="s">
        <v>89</v>
      </c>
      <c r="D59" s="45"/>
      <c r="F59" s="58" t="str">
        <f>B56</f>
        <v>C:\lslsys\wireless2.conf</v>
      </c>
    </row>
    <row r="60" spans="1:6" x14ac:dyDescent="0.2">
      <c r="B60" s="21"/>
      <c r="D60" s="45"/>
    </row>
    <row r="61" spans="1:6" x14ac:dyDescent="0.2">
      <c r="B61" s="21" t="s">
        <v>93</v>
      </c>
      <c r="D61" s="45"/>
    </row>
    <row r="62" spans="1:6" x14ac:dyDescent="0.2">
      <c r="B62" s="24" t="s">
        <v>44</v>
      </c>
      <c r="D62" s="45"/>
    </row>
    <row r="63" spans="1:6" x14ac:dyDescent="0.2">
      <c r="B63" s="24" t="s">
        <v>45</v>
      </c>
      <c r="C63" s="57" t="s">
        <v>110</v>
      </c>
      <c r="D63" s="45" t="str">
        <f>IF(B58="","",B58)</f>
        <v># | Configuration of the WLAN-Client IP11 (2.4GHz) |</v>
      </c>
    </row>
    <row r="64" spans="1:6" x14ac:dyDescent="0.2">
      <c r="B64" s="26"/>
      <c r="C64" s="56" t="s">
        <v>111</v>
      </c>
      <c r="D64" s="45" t="str">
        <f t="shared" ref="D64:D69" si="2">IF(B59="","",B59)</f>
        <v># +------------------------------------------------+</v>
      </c>
    </row>
    <row r="65" spans="1:4" x14ac:dyDescent="0.2">
      <c r="B65" s="24" t="str">
        <f>IF(Configuration!Q54="yes","","network={")</f>
        <v>network={</v>
      </c>
      <c r="D65" s="45" t="str">
        <f t="shared" si="2"/>
        <v/>
      </c>
    </row>
    <row r="66" spans="1:4" x14ac:dyDescent="0.2">
      <c r="B66" s="25" t="str">
        <f>IF(Configuration!Q54="yes","","   ssid="""&amp;Configuration!O33&amp;"""")</f>
        <v xml:space="preserve">   ssid="SN05529561_SIG_11"</v>
      </c>
      <c r="D66" s="45" t="str">
        <f t="shared" si="2"/>
        <v># NOTE: First Line is important !</v>
      </c>
    </row>
    <row r="67" spans="1:4" x14ac:dyDescent="0.2">
      <c r="B67" s="25" t="str">
        <f>IF(Configuration!Q54="yes","","   psk="""&amp;Configuration!O34&amp;"""")</f>
        <v xml:space="preserve">   psk="12345678"</v>
      </c>
      <c r="D67" s="45" t="str">
        <f t="shared" si="2"/>
        <v>ctrl_interface=/var/run/wpa_supplicant</v>
      </c>
    </row>
    <row r="68" spans="1:4" x14ac:dyDescent="0.2">
      <c r="B68" s="25" t="str">
        <f>IF(calc!H135="LEER","",IF(Configuration!Q54="yes","","   proto="&amp;calc!H135))</f>
        <v xml:space="preserve">   proto=WPA2</v>
      </c>
      <c r="D68" s="45" t="str">
        <f t="shared" si="2"/>
        <v>update_config=1</v>
      </c>
    </row>
    <row r="69" spans="1:4" x14ac:dyDescent="0.2">
      <c r="B69" s="25" t="str">
        <f>IF(Configuration!Q54="yes","","   key_mgmt="&amp;calc!F135)</f>
        <v xml:space="preserve">   key_mgmt=WPA-PSK</v>
      </c>
      <c r="D69" s="45" t="str">
        <f t="shared" si="2"/>
        <v/>
      </c>
    </row>
    <row r="70" spans="1:4" x14ac:dyDescent="0.2">
      <c r="B70" s="25" t="str">
        <f>IF(calc!G135="LEER","",IF(Configuration!Q54="yes","","   pairwise="&amp;calc!G135))</f>
        <v xml:space="preserve">   pairwise=CCMP</v>
      </c>
      <c r="D70" s="45"/>
    </row>
    <row r="71" spans="1:4" x14ac:dyDescent="0.2">
      <c r="B71" s="64" t="str">
        <f>IF(Configuration!Q54="yes","","#  group=CCMP")</f>
        <v>#  group=CCMP</v>
      </c>
      <c r="D71" s="45"/>
    </row>
    <row r="72" spans="1:4" x14ac:dyDescent="0.2">
      <c r="B72" s="50" t="str">
        <f>IF(Configuration!Q54="yes","",IF(Configuration!Q54="yes","","#  disabled=1"))</f>
        <v>#  disabled=1</v>
      </c>
      <c r="D72" s="45"/>
    </row>
    <row r="73" spans="1:4" x14ac:dyDescent="0.2">
      <c r="A73" s="62" t="s">
        <v>117</v>
      </c>
      <c r="B73" s="21" t="str">
        <f>IF(Configuration!Q54="yes","","#  scan_ssid="&amp;IF(Configuration!S54="yes","0","1"))</f>
        <v>#  scan_ssid=0</v>
      </c>
      <c r="D73" s="45"/>
    </row>
    <row r="74" spans="1:4" x14ac:dyDescent="0.2">
      <c r="B74" s="24" t="str">
        <f>IF(Configuration!Q54="yes","","}")</f>
        <v>}</v>
      </c>
      <c r="D74" s="45"/>
    </row>
    <row r="75" spans="1:4" x14ac:dyDescent="0.2">
      <c r="A75" s="63" t="s">
        <v>117</v>
      </c>
      <c r="B75" s="61" t="s">
        <v>118</v>
      </c>
      <c r="D75" s="45"/>
    </row>
    <row r="76" spans="1:4" x14ac:dyDescent="0.2">
      <c r="B76" s="34"/>
      <c r="D76" s="45"/>
    </row>
    <row r="77" spans="1:4" x14ac:dyDescent="0.2">
      <c r="B77" s="34"/>
      <c r="D77" s="45"/>
    </row>
    <row r="78" spans="1:4" x14ac:dyDescent="0.2">
      <c r="D78" s="45"/>
    </row>
    <row r="79" spans="1:4" ht="10.35" customHeight="1" x14ac:dyDescent="0.2">
      <c r="B79" s="29" t="s">
        <v>42</v>
      </c>
      <c r="D79" s="45"/>
    </row>
    <row r="80" spans="1:4" ht="10.35" customHeight="1" x14ac:dyDescent="0.2">
      <c r="B80" s="21" t="s">
        <v>89</v>
      </c>
      <c r="D80" s="45"/>
    </row>
    <row r="81" spans="1:6" ht="10.35" customHeight="1" x14ac:dyDescent="0.2">
      <c r="B81" s="21" t="s">
        <v>92</v>
      </c>
      <c r="D81" s="45"/>
    </row>
    <row r="82" spans="1:6" ht="10.35" customHeight="1" x14ac:dyDescent="0.2">
      <c r="B82" s="21" t="s">
        <v>89</v>
      </c>
      <c r="D82" s="45"/>
    </row>
    <row r="83" spans="1:6" ht="10.35" customHeight="1" x14ac:dyDescent="0.2">
      <c r="B83" s="21"/>
      <c r="D83" s="45"/>
    </row>
    <row r="84" spans="1:6" ht="10.35" customHeight="1" x14ac:dyDescent="0.2">
      <c r="B84" s="21" t="s">
        <v>74</v>
      </c>
      <c r="D84" s="45"/>
    </row>
    <row r="85" spans="1:6" ht="10.35" customHeight="1" x14ac:dyDescent="0.2">
      <c r="B85" s="25" t="str">
        <f>IF(Configuration!Q49="no","","channel_10 = "&amp;Configuration!S48)</f>
        <v/>
      </c>
      <c r="D85" s="45"/>
      <c r="F85" s="58" t="str">
        <f>B79</f>
        <v>C:\lslsys\rsdbd.conf</v>
      </c>
    </row>
    <row r="86" spans="1:6" ht="10.35" customHeight="1" x14ac:dyDescent="0.2">
      <c r="B86" s="25" t="str">
        <f>IF(Configuration!Q49="no","","bandwidth_10 = "&amp;Configuration!U48)</f>
        <v/>
      </c>
      <c r="D86" s="45"/>
    </row>
    <row r="87" spans="1:6" ht="10.35" customHeight="1" x14ac:dyDescent="0.2">
      <c r="B87" s="25" t="str">
        <f>IF(Configuration!Q49="no","","key_mgmt_10 = "&amp;calc!F134)</f>
        <v/>
      </c>
      <c r="D87" s="45"/>
    </row>
    <row r="88" spans="1:6" ht="10.35" customHeight="1" x14ac:dyDescent="0.2">
      <c r="B88" s="25" t="str">
        <f>IF(calc!G134="LEER","",IF(Configuration!Q49="no","","pairwise_10 = "&amp;calc!G134))</f>
        <v/>
      </c>
      <c r="D88" s="45"/>
    </row>
    <row r="89" spans="1:6" ht="10.35" customHeight="1" x14ac:dyDescent="0.2">
      <c r="B89" s="25" t="str">
        <f>IF(calc!H134="LEER","",IF(Configuration!Q49="no","","proto_10 = "&amp;calc!H134))</f>
        <v/>
      </c>
      <c r="D89" s="45"/>
    </row>
    <row r="90" spans="1:6" ht="10.35" customHeight="1" x14ac:dyDescent="0.2">
      <c r="B90" s="25" t="str">
        <f>IF(Configuration!Q49="no","","psk_10 = "&amp;Configuration!O49)</f>
        <v/>
      </c>
      <c r="D90" s="45" t="str">
        <f>IF(B81="","",B81)</f>
        <v># |     Configuration of the Accesspoint (HGW)     |</v>
      </c>
    </row>
    <row r="91" spans="1:6" ht="10.35" customHeight="1" x14ac:dyDescent="0.2">
      <c r="B91" s="25" t="str">
        <f>IF(Configuration!Q49="no","","ssid_10 = "&amp;Configuration!O48)</f>
        <v/>
      </c>
      <c r="C91" s="57" t="s">
        <v>110</v>
      </c>
      <c r="D91" s="45" t="str">
        <f t="shared" ref="D91:D98" si="3">IF(B82="","",B82)</f>
        <v># +------------------------------------------------+</v>
      </c>
    </row>
    <row r="92" spans="1:6" ht="10.35" customHeight="1" x14ac:dyDescent="0.2">
      <c r="A92" s="62" t="s">
        <v>117</v>
      </c>
      <c r="B92" s="21" t="str">
        <f>IF(Configuration!Q49="no","","# ssid_invisible_10="&amp;IF(Configuration!S49="yes","0","1"))</f>
        <v/>
      </c>
      <c r="C92" s="56" t="s">
        <v>111</v>
      </c>
      <c r="D92" s="45" t="str">
        <f t="shared" si="3"/>
        <v/>
      </c>
    </row>
    <row r="93" spans="1:6" ht="10.35" customHeight="1" x14ac:dyDescent="0.2">
      <c r="B93" s="23"/>
      <c r="D93" s="45" t="str">
        <f t="shared" si="3"/>
        <v># Parameters for WLAN-AP interface 10 (5G) when HGW=AP</v>
      </c>
    </row>
    <row r="94" spans="1:6" ht="10.35" customHeight="1" x14ac:dyDescent="0.2">
      <c r="B94" s="21" t="s">
        <v>73</v>
      </c>
      <c r="D94" s="45" t="str">
        <f t="shared" si="3"/>
        <v/>
      </c>
    </row>
    <row r="95" spans="1:6" ht="10.35" customHeight="1" x14ac:dyDescent="0.2">
      <c r="B95" s="25" t="str">
        <f>IF(Configuration!Q54="no","","channel_11 = "&amp;Configuration!S53)</f>
        <v/>
      </c>
      <c r="D95" s="45" t="str">
        <f t="shared" si="3"/>
        <v/>
      </c>
    </row>
    <row r="96" spans="1:6" ht="10.35" customHeight="1" x14ac:dyDescent="0.2">
      <c r="B96" s="25" t="str">
        <f>IF(Configuration!Q54="no","","bandwidth_11 = "&amp;Configuration!U53)</f>
        <v/>
      </c>
      <c r="D96" s="45" t="str">
        <f t="shared" si="3"/>
        <v/>
      </c>
    </row>
    <row r="97" spans="1:4" ht="10.35" customHeight="1" x14ac:dyDescent="0.2">
      <c r="B97" s="25" t="str">
        <f>IF(Configuration!Q54="no","","key_mgmt_11 = "&amp;calc!F135)</f>
        <v/>
      </c>
      <c r="D97" s="45" t="str">
        <f t="shared" si="3"/>
        <v/>
      </c>
    </row>
    <row r="98" spans="1:4" ht="10.35" customHeight="1" x14ac:dyDescent="0.2">
      <c r="B98" s="25" t="str">
        <f>IF(calc!G135="LEER","",IF(Configuration!Q54="no","","pairwise_11 = "&amp;calc!G135))</f>
        <v/>
      </c>
      <c r="D98" s="45" t="str">
        <f t="shared" si="3"/>
        <v/>
      </c>
    </row>
    <row r="99" spans="1:4" ht="10.35" customHeight="1" x14ac:dyDescent="0.2">
      <c r="B99" s="25" t="str">
        <f>IF(calc!H135="LEER","",IF(Configuration!Q54="no","","proto_11 = "&amp;calc!H135))</f>
        <v/>
      </c>
      <c r="D99" s="45"/>
    </row>
    <row r="100" spans="1:4" ht="10.35" customHeight="1" x14ac:dyDescent="0.2">
      <c r="B100" s="25" t="str">
        <f>IF(Configuration!Q54="no","","psk_11 = "&amp;Configuration!O54)</f>
        <v/>
      </c>
      <c r="D100" s="45"/>
    </row>
    <row r="101" spans="1:4" ht="10.35" customHeight="1" x14ac:dyDescent="0.2">
      <c r="B101" s="25" t="str">
        <f>IF(Configuration!Q54="no","","ssid_11 = "&amp;Configuration!O53)</f>
        <v/>
      </c>
      <c r="D101" s="45"/>
    </row>
    <row r="102" spans="1:4" ht="10.35" customHeight="1" x14ac:dyDescent="0.2">
      <c r="A102" s="62" t="s">
        <v>117</v>
      </c>
      <c r="B102" s="21" t="str">
        <f>IF(Configuration!Q54="no","","# ssid_invisible_11="&amp;IF(Configuration!S54="yes","0","1"))</f>
        <v/>
      </c>
      <c r="D102" s="45"/>
    </row>
    <row r="103" spans="1:4" ht="10.35" customHeight="1" x14ac:dyDescent="0.2">
      <c r="B103" s="23"/>
      <c r="D103" s="45"/>
    </row>
    <row r="104" spans="1:4" x14ac:dyDescent="0.2">
      <c r="B104" s="21" t="s">
        <v>75</v>
      </c>
      <c r="D104" s="45"/>
    </row>
    <row r="105" spans="1:4" x14ac:dyDescent="0.2">
      <c r="B105" s="25" t="str">
        <f>IF(AND(Configuration!Q49="no",Configuration!Q54="no"),"","country_code = "&amp;UPPER(Configuration!F32))</f>
        <v/>
      </c>
      <c r="D105" s="45"/>
    </row>
    <row r="106" spans="1:4" x14ac:dyDescent="0.2">
      <c r="A106" s="63" t="s">
        <v>117</v>
      </c>
      <c r="B106" s="61" t="s">
        <v>118</v>
      </c>
      <c r="D106" s="45"/>
    </row>
  </sheetData>
  <pageMargins left="0.78749999999999998" right="0.78749999999999998" top="1.0249999999999999" bottom="1.0249999999999999" header="0.78749999999999998" footer="0.78749999999999998"/>
  <pageSetup paperSize="9" scale="58" orientation="portrait" r:id="rId1"/>
  <headerFooter>
    <oddHeader>&amp;C&amp;A</oddHeader>
    <oddFooter>&amp;CSeite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F1048543"/>
  <sheetViews>
    <sheetView showGridLines="0" zoomScaleNormal="100" workbookViewId="0">
      <selection activeCell="B4" sqref="B4:B30"/>
    </sheetView>
  </sheetViews>
  <sheetFormatPr baseColWidth="10" defaultColWidth="9.140625" defaultRowHeight="12.75" x14ac:dyDescent="0.2"/>
  <cols>
    <col min="1" max="1" width="11.5703125"/>
    <col min="2" max="2" width="65.7109375" style="20" customWidth="1"/>
    <col min="3" max="4" width="11.5703125"/>
    <col min="5" max="5" width="2.7109375" customWidth="1"/>
    <col min="6" max="1023" width="11.5703125"/>
  </cols>
  <sheetData>
    <row r="3" spans="2:6" ht="12.6" customHeight="1" x14ac:dyDescent="0.2">
      <c r="B3" s="29" t="s">
        <v>94</v>
      </c>
    </row>
    <row r="4" spans="2:6" ht="10.35" customHeight="1" x14ac:dyDescent="0.2">
      <c r="B4" s="21" t="str">
        <f>"REM +---------------------------------------------+"</f>
        <v>REM +---------------------------------------------+</v>
      </c>
    </row>
    <row r="5" spans="2:6" ht="10.35" customHeight="1" x14ac:dyDescent="0.2">
      <c r="B5" s="21" t="s">
        <v>84</v>
      </c>
      <c r="D5" s="45"/>
    </row>
    <row r="6" spans="2:6" ht="10.35" customHeight="1" x14ac:dyDescent="0.2">
      <c r="B6" s="21" t="s">
        <v>30</v>
      </c>
      <c r="D6" s="45"/>
    </row>
    <row r="7" spans="2:6" ht="10.35" customHeight="1" x14ac:dyDescent="0.2">
      <c r="B7" s="21" t="s">
        <v>83</v>
      </c>
      <c r="D7" s="45"/>
    </row>
    <row r="8" spans="2:6" ht="10.35" customHeight="1" x14ac:dyDescent="0.2">
      <c r="B8" s="21" t="s">
        <v>31</v>
      </c>
      <c r="D8" s="45"/>
    </row>
    <row r="9" spans="2:6" ht="10.35" customHeight="1" x14ac:dyDescent="0.2">
      <c r="B9" s="21"/>
      <c r="D9" s="45"/>
    </row>
    <row r="10" spans="2:6" ht="10.35" customHeight="1" x14ac:dyDescent="0.2">
      <c r="B10" s="21" t="s">
        <v>32</v>
      </c>
      <c r="D10" s="45"/>
      <c r="F10" s="58" t="str">
        <f>B3</f>
        <v>C:\autoexec.lsl</v>
      </c>
    </row>
    <row r="11" spans="2:6" ht="10.35" customHeight="1" x14ac:dyDescent="0.2">
      <c r="B11" s="21" t="s">
        <v>80</v>
      </c>
      <c r="D11" s="45"/>
    </row>
    <row r="12" spans="2:6" ht="10.35" customHeight="1" x14ac:dyDescent="0.2">
      <c r="B12" s="21" t="str">
        <f>"REM |              Machine Number "&amp;Configuration!D3&amp;"              |  "</f>
        <v xml:space="preserve">REM |              Machine Number 10              |  </v>
      </c>
      <c r="D12" s="45"/>
    </row>
    <row r="13" spans="2:6" ht="10.35" customHeight="1" x14ac:dyDescent="0.2">
      <c r="B13" s="21" t="s">
        <v>31</v>
      </c>
      <c r="D13" s="45"/>
    </row>
    <row r="14" spans="2:6" ht="10.35" customHeight="1" x14ac:dyDescent="0.2">
      <c r="B14" s="22"/>
      <c r="D14" s="45"/>
    </row>
    <row r="15" spans="2:6" ht="10.35" customHeight="1" x14ac:dyDescent="0.2">
      <c r="B15" s="25" t="s">
        <v>47</v>
      </c>
      <c r="C15" s="57" t="s">
        <v>110</v>
      </c>
      <c r="D15" s="45" t="str">
        <f>IF(B11="","",B11)</f>
        <v xml:space="preserve">REM |             CP1xx Configuration             |  </v>
      </c>
    </row>
    <row r="16" spans="2:6" ht="10.35" customHeight="1" x14ac:dyDescent="0.2">
      <c r="B16" s="25" t="s">
        <v>54</v>
      </c>
      <c r="C16" s="56" t="s">
        <v>111</v>
      </c>
      <c r="D16" s="45" t="str">
        <f t="shared" ref="D16:D23" si="0">IF(B12="","",B12)</f>
        <v xml:space="preserve">REM |              Machine Number 10              |  </v>
      </c>
    </row>
    <row r="17" spans="2:4" ht="10.35" customHeight="1" x14ac:dyDescent="0.2">
      <c r="B17" s="26"/>
      <c r="D17" s="45" t="str">
        <f t="shared" si="0"/>
        <v xml:space="preserve">REM +---------------------------------------------+  </v>
      </c>
    </row>
    <row r="18" spans="2:4" ht="10.35" customHeight="1" x14ac:dyDescent="0.2">
      <c r="B18" s="25" t="s">
        <v>48</v>
      </c>
      <c r="D18" s="45" t="str">
        <f t="shared" si="0"/>
        <v/>
      </c>
    </row>
    <row r="19" spans="2:4" ht="10.35" customHeight="1" x14ac:dyDescent="0.2">
      <c r="B19" s="26"/>
      <c r="D19" s="45" t="str">
        <f t="shared" si="0"/>
        <v>SET EVENTLOG ON</v>
      </c>
    </row>
    <row r="20" spans="2:4" ht="10.35" customHeight="1" x14ac:dyDescent="0.2">
      <c r="B20" s="25" t="str">
        <f>"SET IP 1 HOSTADDR "&amp;Configuration!D12</f>
        <v>SET IP 1 HOSTADDR 10.10.150.1</v>
      </c>
      <c r="D20" s="45" t="str">
        <f t="shared" si="0"/>
        <v>SET OSHEAP 100000</v>
      </c>
    </row>
    <row r="21" spans="2:4" ht="10.35" customHeight="1" x14ac:dyDescent="0.2">
      <c r="B21" s="25" t="str">
        <f>"SET IP 1 SUBNET "&amp;Configuration!D13</f>
        <v>SET IP 1 SUBNET 255.0.0.0</v>
      </c>
      <c r="D21" s="45" t="str">
        <f t="shared" si="0"/>
        <v/>
      </c>
    </row>
    <row r="22" spans="2:4" ht="10.35" customHeight="1" x14ac:dyDescent="0.2">
      <c r="B22" s="25" t="str">
        <f>"SET IP 1 GATEWAY "&amp;Configuration!D14</f>
        <v>SET IP 1 GATEWAY 10.10.150.100</v>
      </c>
      <c r="D22" s="45" t="str">
        <f t="shared" si="0"/>
        <v>SET CAN 1 BAUD 1 STATION 0</v>
      </c>
    </row>
    <row r="23" spans="2:4" ht="10.35" customHeight="1" x14ac:dyDescent="0.2">
      <c r="B23" s="26"/>
      <c r="D23" s="45" t="str">
        <f t="shared" si="0"/>
        <v/>
      </c>
    </row>
    <row r="24" spans="2:4" ht="10.35" customHeight="1" x14ac:dyDescent="0.2">
      <c r="B24" s="25" t="s">
        <v>49</v>
      </c>
      <c r="D24" s="45"/>
    </row>
    <row r="25" spans="2:4" ht="10.35" customHeight="1" x14ac:dyDescent="0.2">
      <c r="B25" s="25" t="s">
        <v>50</v>
      </c>
      <c r="D25" s="45"/>
    </row>
    <row r="26" spans="2:4" ht="10.35" customHeight="1" x14ac:dyDescent="0.2">
      <c r="B26" s="23"/>
      <c r="D26" s="45"/>
    </row>
    <row r="27" spans="2:4" ht="10.35" customHeight="1" x14ac:dyDescent="0.2">
      <c r="B27" s="24" t="s">
        <v>51</v>
      </c>
      <c r="D27" s="45"/>
    </row>
    <row r="28" spans="2:4" ht="10.35" customHeight="1" x14ac:dyDescent="0.2">
      <c r="B28" s="24" t="s">
        <v>52</v>
      </c>
      <c r="D28" s="45"/>
    </row>
    <row r="29" spans="2:4" ht="10.35" customHeight="1" x14ac:dyDescent="0.2">
      <c r="B29" s="24" t="s">
        <v>642</v>
      </c>
      <c r="D29" s="45"/>
    </row>
    <row r="30" spans="2:4" ht="10.35" customHeight="1" x14ac:dyDescent="0.2">
      <c r="B30" s="23"/>
      <c r="D30" s="45"/>
    </row>
    <row r="31" spans="2:4" x14ac:dyDescent="0.2">
      <c r="D31" s="45"/>
    </row>
    <row r="32" spans="2:4" x14ac:dyDescent="0.2">
      <c r="D32" s="45"/>
    </row>
    <row r="33" spans="4:4" x14ac:dyDescent="0.2">
      <c r="D33" s="45"/>
    </row>
    <row r="34" spans="4:4" x14ac:dyDescent="0.2">
      <c r="D34" s="45"/>
    </row>
    <row r="35" spans="4:4" x14ac:dyDescent="0.2">
      <c r="D35" s="45"/>
    </row>
    <row r="36" spans="4:4" x14ac:dyDescent="0.2">
      <c r="D36" s="45"/>
    </row>
    <row r="37" spans="4:4" x14ac:dyDescent="0.2">
      <c r="D37" s="45"/>
    </row>
    <row r="1048511" ht="12.75" customHeight="1" x14ac:dyDescent="0.2"/>
    <row r="1048512" ht="12.75" customHeight="1" x14ac:dyDescent="0.2"/>
    <row r="1048513" ht="12.75" customHeight="1" x14ac:dyDescent="0.2"/>
    <row r="1048514" ht="12.75" customHeight="1" x14ac:dyDescent="0.2"/>
    <row r="1048515" ht="12.75" customHeight="1" x14ac:dyDescent="0.2"/>
    <row r="1048516" ht="12.75" customHeight="1" x14ac:dyDescent="0.2"/>
    <row r="1048517" ht="12.75" customHeight="1" x14ac:dyDescent="0.2"/>
    <row r="1048518" ht="12.75" customHeight="1" x14ac:dyDescent="0.2"/>
    <row r="1048519" ht="12.75" customHeight="1" x14ac:dyDescent="0.2"/>
    <row r="1048520" ht="12.75" customHeight="1" x14ac:dyDescent="0.2"/>
    <row r="1048521" ht="12.75" customHeight="1" x14ac:dyDescent="0.2"/>
    <row r="1048522" ht="12.75" customHeight="1" x14ac:dyDescent="0.2"/>
    <row r="1048523" ht="12.75" customHeight="1" x14ac:dyDescent="0.2"/>
    <row r="1048524" ht="12.75" customHeight="1" x14ac:dyDescent="0.2"/>
    <row r="1048525" ht="12.75" customHeight="1" x14ac:dyDescent="0.2"/>
    <row r="1048526" ht="12.75" customHeight="1" x14ac:dyDescent="0.2"/>
    <row r="1048527" ht="12.75" customHeight="1" x14ac:dyDescent="0.2"/>
    <row r="1048528" ht="12.75" customHeight="1" x14ac:dyDescent="0.2"/>
    <row r="1048529" ht="12.75" customHeight="1" x14ac:dyDescent="0.2"/>
    <row r="1048530" ht="12.75" customHeight="1" x14ac:dyDescent="0.2"/>
    <row r="1048531" ht="12.75" customHeight="1" x14ac:dyDescent="0.2"/>
    <row r="1048532" ht="12.75" customHeight="1" x14ac:dyDescent="0.2"/>
    <row r="1048533" ht="12.75" customHeight="1" x14ac:dyDescent="0.2"/>
    <row r="1048534" ht="12.75" customHeight="1" x14ac:dyDescent="0.2"/>
    <row r="1048535" ht="12.75" customHeight="1" x14ac:dyDescent="0.2"/>
    <row r="1048536" ht="12.75" customHeight="1" x14ac:dyDescent="0.2"/>
    <row r="1048537" ht="12.75" customHeight="1" x14ac:dyDescent="0.2"/>
    <row r="1048538" ht="12.75" customHeight="1" x14ac:dyDescent="0.2"/>
    <row r="1048539" ht="12.75" customHeight="1" x14ac:dyDescent="0.2"/>
    <row r="1048540" ht="12.75" customHeight="1" x14ac:dyDescent="0.2"/>
    <row r="1048541" ht="12.75" customHeight="1" x14ac:dyDescent="0.2"/>
    <row r="1048542" ht="12.75" customHeight="1" x14ac:dyDescent="0.2"/>
    <row r="1048543" ht="12.75" customHeight="1" x14ac:dyDescent="0.2"/>
  </sheetData>
  <pageMargins left="0.78749999999999998" right="0.78749999999999998" top="1.0249999999999999" bottom="1.0249999999999999" header="0.78749999999999998" footer="0.78749999999999998"/>
  <pageSetup paperSize="9" orientation="portrait" r:id="rId1"/>
  <headerFooter>
    <oddHeader>&amp;C&amp;A</oddHeader>
    <oddFooter>&amp;CSeite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A31FB-82EA-4312-9593-D43C6242892D}">
  <sheetPr>
    <pageSetUpPr fitToPage="1"/>
  </sheetPr>
  <dimension ref="A3:V74"/>
  <sheetViews>
    <sheetView showGridLines="0" workbookViewId="0">
      <selection activeCell="V18" sqref="V18"/>
    </sheetView>
  </sheetViews>
  <sheetFormatPr baseColWidth="10" defaultRowHeight="12.75" x14ac:dyDescent="0.2"/>
  <cols>
    <col min="7" max="7" width="12" customWidth="1"/>
    <col min="8" max="8" width="14.42578125" customWidth="1"/>
  </cols>
  <sheetData>
    <row r="3" spans="1:20" ht="15" x14ac:dyDescent="0.25">
      <c r="B3" s="40" t="s">
        <v>76</v>
      </c>
      <c r="C3" s="40"/>
    </row>
    <row r="4" spans="1:20" x14ac:dyDescent="0.2">
      <c r="B4" s="41" t="str">
        <f>"Ping "&amp;Configuration!D14</f>
        <v>Ping 10.10.150.100</v>
      </c>
      <c r="C4" s="42"/>
    </row>
    <row r="5" spans="1:20" x14ac:dyDescent="0.2">
      <c r="B5" s="43" t="str">
        <f>"Ping "&amp;Configuration!L28</f>
        <v>Ping 192.168.1.1</v>
      </c>
      <c r="C5" s="44"/>
      <c r="E5" s="59"/>
      <c r="F5" s="59" t="str">
        <f>B4</f>
        <v>Ping 10.10.150.100</v>
      </c>
    </row>
    <row r="6" spans="1:20" x14ac:dyDescent="0.2">
      <c r="B6" s="41" t="str">
        <f>"Ping "&amp;Configuration!L53</f>
        <v>Ping 192.168.2.2</v>
      </c>
      <c r="C6" s="42"/>
    </row>
    <row r="7" spans="1:20" x14ac:dyDescent="0.2">
      <c r="B7" s="43" t="str">
        <f>"Ping "&amp;Configuration!L48</f>
        <v>Ping 192.168.1.2</v>
      </c>
      <c r="C7" s="44"/>
    </row>
    <row r="8" spans="1:20" x14ac:dyDescent="0.2">
      <c r="B8" s="28"/>
    </row>
    <row r="9" spans="1:20" x14ac:dyDescent="0.2">
      <c r="B9" s="28"/>
    </row>
    <row r="10" spans="1:20" x14ac:dyDescent="0.2">
      <c r="B10" s="28"/>
    </row>
    <row r="11" spans="1:20" x14ac:dyDescent="0.2">
      <c r="B11" s="28"/>
    </row>
    <row r="12" spans="1:20" x14ac:dyDescent="0.2">
      <c r="B12" s="28"/>
    </row>
    <row r="13" spans="1:20" x14ac:dyDescent="0.2">
      <c r="B13" s="28"/>
    </row>
    <row r="14" spans="1:20" x14ac:dyDescent="0.2">
      <c r="B14" s="28"/>
    </row>
    <row r="15" spans="1:20" ht="15" x14ac:dyDescent="0.25">
      <c r="A15" s="90" t="s">
        <v>119</v>
      </c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</row>
    <row r="16" spans="1:20" s="66" customFormat="1" ht="6" customHeight="1" x14ac:dyDescent="0.25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</row>
    <row r="27" spans="4:14" x14ac:dyDescent="0.2">
      <c r="D27" s="38" t="str">
        <f>Configuration!L48</f>
        <v>192.168.1.2</v>
      </c>
      <c r="I27" s="39" t="str">
        <f>Configuration!D12</f>
        <v>10.10.150.1</v>
      </c>
      <c r="N27" s="38" t="str">
        <f>Configuration!L38</f>
        <v>10.10.150.100</v>
      </c>
    </row>
    <row r="48" spans="2:2" x14ac:dyDescent="0.2">
      <c r="B48" s="36"/>
    </row>
    <row r="51" spans="4:22" x14ac:dyDescent="0.2">
      <c r="V51" s="35"/>
    </row>
    <row r="56" spans="4:22" x14ac:dyDescent="0.2">
      <c r="D56" s="39"/>
    </row>
    <row r="74" spans="15:15" x14ac:dyDescent="0.2">
      <c r="O74" s="35"/>
    </row>
  </sheetData>
  <mergeCells count="1">
    <mergeCell ref="A15:T15"/>
  </mergeCells>
  <phoneticPr fontId="24" type="noConversion"/>
  <pageMargins left="0.7" right="0.7" top="0.78740157499999996" bottom="0.78740157499999996" header="0.3" footer="0.3"/>
  <pageSetup paperSize="9" scale="4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A52BC-D2B5-45BB-B98F-12362C0F07DF}">
  <dimension ref="I18:R18"/>
  <sheetViews>
    <sheetView showGridLines="0" workbookViewId="0">
      <selection activeCell="C30" sqref="C30"/>
    </sheetView>
  </sheetViews>
  <sheetFormatPr baseColWidth="10" defaultRowHeight="12.75" x14ac:dyDescent="0.2"/>
  <cols>
    <col min="11" max="11" width="15.5703125" customWidth="1"/>
  </cols>
  <sheetData>
    <row r="18" spans="9:18" x14ac:dyDescent="0.2">
      <c r="I18" s="30" t="str">
        <f>Configuration!L28</f>
        <v>192.168.1.1</v>
      </c>
      <c r="M18" s="30" t="str">
        <f>Configuration!D12</f>
        <v>10.10.150.1</v>
      </c>
      <c r="R18" s="31" t="str">
        <f>Configuration!L48</f>
        <v>192.168.1.2</v>
      </c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zoomScaleNormal="100" workbookViewId="0">
      <selection activeCell="F29" sqref="F29"/>
    </sheetView>
  </sheetViews>
  <sheetFormatPr baseColWidth="10" defaultColWidth="9.140625" defaultRowHeight="12.75" x14ac:dyDescent="0.2"/>
  <cols>
    <col min="1" max="1025" width="11.5703125"/>
  </cols>
  <sheetData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&amp;CSeite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7525F-1D48-47C1-BCE5-9BC90D1ED518}">
  <sheetPr>
    <pageSetUpPr fitToPage="1"/>
  </sheetPr>
  <dimension ref="A2:AMM62"/>
  <sheetViews>
    <sheetView zoomScaleNormal="100" workbookViewId="0">
      <selection activeCell="E25" sqref="E25"/>
    </sheetView>
  </sheetViews>
  <sheetFormatPr baseColWidth="10" defaultColWidth="9.140625" defaultRowHeight="12.75" x14ac:dyDescent="0.2"/>
  <cols>
    <col min="1" max="1" width="11.28515625" style="1" customWidth="1"/>
    <col min="2" max="2" width="9.5703125" style="1" customWidth="1"/>
    <col min="3" max="3" width="2.5703125" style="1" customWidth="1"/>
    <col min="4" max="4" width="18.28515625" style="1" customWidth="1"/>
    <col min="5" max="5" width="17.5703125" style="1" customWidth="1"/>
    <col min="6" max="6" width="9.140625" style="1"/>
    <col min="7" max="7" width="2.5703125" style="1" customWidth="1"/>
    <col min="8" max="8" width="18.28515625" style="1" customWidth="1"/>
    <col min="9" max="9" width="19.42578125" style="1" customWidth="1"/>
    <col min="10" max="10" width="9.140625" style="1"/>
    <col min="11" max="11" width="2.7109375" style="1" customWidth="1"/>
    <col min="12" max="12" width="18.28515625" style="1" customWidth="1"/>
    <col min="13" max="13" width="9.140625" style="1"/>
    <col min="14" max="14" width="2.5703125" style="1" customWidth="1"/>
    <col min="15" max="15" width="20.42578125" style="2" customWidth="1"/>
    <col min="16" max="16" width="14.28515625" style="1" customWidth="1"/>
    <col min="17" max="17" width="13.42578125" style="1" customWidth="1"/>
    <col min="18" max="18" width="10.7109375" style="1" customWidth="1"/>
    <col min="19" max="19" width="5" style="1" customWidth="1"/>
    <col min="20" max="20" width="10.42578125" style="1" customWidth="1"/>
    <col min="21" max="21" width="4.42578125" style="1" customWidth="1"/>
    <col min="22" max="1025" width="9.140625" style="1"/>
  </cols>
  <sheetData>
    <row r="2" spans="2:21" x14ac:dyDescent="0.2">
      <c r="D2" s="3" t="s">
        <v>0</v>
      </c>
      <c r="H2" s="3" t="s">
        <v>0</v>
      </c>
      <c r="L2" s="3" t="s">
        <v>0</v>
      </c>
    </row>
    <row r="3" spans="2:21" s="1" customFormat="1" x14ac:dyDescent="0.2">
      <c r="D3" s="4" t="s">
        <v>1</v>
      </c>
      <c r="H3" s="4" t="s">
        <v>2</v>
      </c>
      <c r="L3" s="4" t="s">
        <v>3</v>
      </c>
      <c r="P3" s="5" t="s">
        <v>113</v>
      </c>
      <c r="Q3" s="6"/>
      <c r="R3" s="6"/>
      <c r="S3" s="6"/>
      <c r="T3" s="6"/>
      <c r="U3" s="6"/>
    </row>
    <row r="4" spans="2:21" s="1" customFormat="1" x14ac:dyDescent="0.2">
      <c r="P4" s="7" t="str">
        <f>IF(C12="X"," IP-adressenkonflikt - bitte prüfen / ändern","")</f>
        <v/>
      </c>
      <c r="Q4" s="8"/>
      <c r="R4" s="8"/>
      <c r="S4" s="8"/>
      <c r="T4" s="8"/>
      <c r="U4" s="8"/>
    </row>
    <row r="5" spans="2:21" x14ac:dyDescent="0.2">
      <c r="P5" s="7" t="str">
        <f>IF(K38="X"," IP-adressenkonflikt (BWH-IP1) - bitte prüfen / ändern","")</f>
        <v/>
      </c>
      <c r="Q5" s="8"/>
      <c r="R5" s="8"/>
      <c r="S5" s="8"/>
      <c r="T5" s="8"/>
      <c r="U5" s="8"/>
    </row>
    <row r="6" spans="2:21" x14ac:dyDescent="0.2">
      <c r="P6" s="7" t="str">
        <f>IF(K39="X"," Subnet stimmt nicht überein (BWH-IP1) - bitte prüfen / ändern","")</f>
        <v/>
      </c>
      <c r="Q6" s="8"/>
      <c r="R6" s="8"/>
      <c r="S6" s="8"/>
      <c r="T6" s="8"/>
      <c r="U6" s="8"/>
    </row>
    <row r="7" spans="2:21" x14ac:dyDescent="0.2">
      <c r="P7" s="7" t="str">
        <f>IF(OR(K30="X",K35="X")," IP-Adressenkonflikt zwischen IF10 und IF11 (BWH) - bitte prüfen / ändern","")</f>
        <v/>
      </c>
      <c r="Q7" s="8"/>
      <c r="R7" s="8"/>
      <c r="S7" s="8"/>
      <c r="T7" s="8"/>
      <c r="U7" s="8"/>
    </row>
    <row r="8" spans="2:21" x14ac:dyDescent="0.2">
      <c r="P8" s="8"/>
      <c r="Q8" s="8"/>
      <c r="R8" s="8"/>
      <c r="S8" s="8"/>
      <c r="T8" s="8"/>
      <c r="U8" s="8"/>
    </row>
    <row r="9" spans="2:21" x14ac:dyDescent="0.2">
      <c r="P9" s="8"/>
      <c r="Q9" s="8"/>
      <c r="R9" s="8"/>
      <c r="S9" s="8"/>
      <c r="T9" s="8"/>
      <c r="U9" s="8"/>
    </row>
    <row r="10" spans="2:21" x14ac:dyDescent="0.2">
      <c r="P10" s="8"/>
      <c r="Q10" s="8"/>
      <c r="R10" s="8"/>
      <c r="S10" s="8"/>
      <c r="T10" s="8"/>
      <c r="U10" s="8"/>
    </row>
    <row r="11" spans="2:21" x14ac:dyDescent="0.2">
      <c r="P11" s="8"/>
      <c r="Q11" s="8"/>
      <c r="R11" s="8"/>
      <c r="S11" s="8"/>
      <c r="T11" s="8"/>
      <c r="U11" s="8"/>
    </row>
    <row r="12" spans="2:21" x14ac:dyDescent="0.2">
      <c r="B12" s="9" t="s">
        <v>96</v>
      </c>
      <c r="C12" s="10" t="str">
        <f>calc!F15</f>
        <v>√</v>
      </c>
      <c r="D12" s="4" t="s">
        <v>5</v>
      </c>
      <c r="F12" s="9" t="s">
        <v>4</v>
      </c>
      <c r="G12" s="10" t="str">
        <f>calc!K15</f>
        <v>√</v>
      </c>
      <c r="H12" s="19" t="str">
        <f>calc!G3</f>
        <v>10.10.150.2</v>
      </c>
      <c r="J12" s="9" t="s">
        <v>4</v>
      </c>
      <c r="K12" s="10" t="str">
        <f>calc!P15</f>
        <v>√</v>
      </c>
      <c r="L12" s="19" t="str">
        <f>calc!L3</f>
        <v>10.10.150.3</v>
      </c>
      <c r="P12" s="8"/>
      <c r="Q12" s="8"/>
      <c r="R12" s="8"/>
      <c r="S12" s="8"/>
      <c r="T12" s="8"/>
      <c r="U12" s="8"/>
    </row>
    <row r="13" spans="2:21" x14ac:dyDescent="0.2">
      <c r="B13" s="9" t="s">
        <v>97</v>
      </c>
      <c r="C13" s="3"/>
      <c r="D13" s="4" t="s">
        <v>7</v>
      </c>
      <c r="F13" s="9" t="s">
        <v>6</v>
      </c>
      <c r="G13" s="10" t="str">
        <f>calc!K19</f>
        <v>√</v>
      </c>
      <c r="H13" s="19" t="str">
        <f>calc!G7</f>
        <v>255.0.0.0</v>
      </c>
      <c r="J13" s="9" t="s">
        <v>6</v>
      </c>
      <c r="K13" s="10" t="str">
        <f>calc!P19</f>
        <v>√</v>
      </c>
      <c r="L13" s="19" t="str">
        <f>calc!L7</f>
        <v>255.0.0.0</v>
      </c>
      <c r="P13" s="8"/>
      <c r="Q13" s="8"/>
      <c r="R13" s="8"/>
      <c r="S13" s="8"/>
      <c r="T13" s="8"/>
      <c r="U13" s="8"/>
    </row>
    <row r="14" spans="2:21" x14ac:dyDescent="0.2">
      <c r="B14" s="9" t="s">
        <v>8</v>
      </c>
      <c r="C14" s="9"/>
      <c r="D14" s="19" t="str">
        <f>L38</f>
        <v>10.10.150.100</v>
      </c>
      <c r="F14" s="9" t="s">
        <v>8</v>
      </c>
      <c r="G14" s="9"/>
      <c r="H14" s="19" t="str">
        <f>L38</f>
        <v>10.10.150.100</v>
      </c>
      <c r="J14" s="9" t="s">
        <v>8</v>
      </c>
      <c r="K14" s="9"/>
      <c r="L14" s="19" t="str">
        <f>L38</f>
        <v>10.10.150.100</v>
      </c>
      <c r="P14" s="8"/>
      <c r="Q14" s="8"/>
      <c r="R14" s="8"/>
      <c r="S14" s="8"/>
      <c r="T14" s="8"/>
      <c r="U14" s="8"/>
    </row>
    <row r="15" spans="2:21" ht="7.5" customHeight="1" x14ac:dyDescent="0.2">
      <c r="D15" s="2"/>
      <c r="P15" s="8"/>
      <c r="Q15" s="8"/>
      <c r="R15" s="8"/>
      <c r="S15" s="8"/>
      <c r="T15" s="8"/>
      <c r="U15" s="8"/>
    </row>
    <row r="16" spans="2:21" x14ac:dyDescent="0.2">
      <c r="B16" s="9" t="s">
        <v>9</v>
      </c>
      <c r="C16" s="10" t="str">
        <f>calc!B24</f>
        <v>√</v>
      </c>
      <c r="D16" s="12" t="str">
        <f>calc!B12</f>
        <v>10.0.0.0</v>
      </c>
      <c r="P16" s="8"/>
      <c r="Q16" s="8"/>
      <c r="R16" s="8"/>
      <c r="S16" s="8"/>
      <c r="T16" s="8"/>
      <c r="U16" s="8"/>
    </row>
    <row r="17" spans="3:21 1026:1027" x14ac:dyDescent="0.2">
      <c r="P17" s="8"/>
      <c r="Q17" s="8"/>
      <c r="R17" s="8"/>
      <c r="S17" s="8"/>
      <c r="T17" s="8"/>
      <c r="U17" s="8"/>
    </row>
    <row r="19" spans="3:21 1026:1027" x14ac:dyDescent="0.2">
      <c r="P19" s="4" t="s">
        <v>10</v>
      </c>
      <c r="Q19" s="1" t="s">
        <v>102</v>
      </c>
    </row>
    <row r="20" spans="3:21 1026:1027" x14ac:dyDescent="0.2">
      <c r="P20" s="19">
        <v>123</v>
      </c>
      <c r="Q20" s="1" t="s">
        <v>103</v>
      </c>
    </row>
    <row r="21" spans="3:21 1026:1027" x14ac:dyDescent="0.2">
      <c r="P21" s="12">
        <v>123</v>
      </c>
      <c r="Q21" s="1" t="s">
        <v>104</v>
      </c>
    </row>
    <row r="27" spans="3:21 1026:1027" x14ac:dyDescent="0.2">
      <c r="M27" s="85" t="s">
        <v>11</v>
      </c>
      <c r="N27" s="85"/>
      <c r="O27" s="85"/>
      <c r="P27" s="85"/>
      <c r="Q27" s="85"/>
      <c r="R27" s="85"/>
      <c r="S27" s="85"/>
    </row>
    <row r="28" spans="3:21 1026:1027" x14ac:dyDescent="0.2">
      <c r="I28" s="9" t="s">
        <v>12</v>
      </c>
      <c r="J28" s="9" t="s">
        <v>4</v>
      </c>
      <c r="K28" s="9"/>
      <c r="L28" s="13" t="s">
        <v>13</v>
      </c>
      <c r="M28" s="9" t="s">
        <v>14</v>
      </c>
      <c r="N28" s="9"/>
      <c r="O28" s="27" t="str">
        <f>calc!B66</f>
        <v>SN05529561_SIG_10</v>
      </c>
      <c r="P28" s="9" t="s">
        <v>643</v>
      </c>
      <c r="Q28" s="15" t="s">
        <v>166</v>
      </c>
      <c r="R28" s="9" t="s">
        <v>167</v>
      </c>
      <c r="S28" s="12">
        <f>VLOOKUP(Q28,calc!A140:G170,5,FALSE)</f>
        <v>36</v>
      </c>
      <c r="T28" s="9" t="s">
        <v>16</v>
      </c>
      <c r="U28" s="12">
        <f>VLOOKUP(Q28,calc!A140:G170,6,FALSE)</f>
        <v>80</v>
      </c>
      <c r="AML28" s="1"/>
      <c r="AMM28" s="1"/>
    </row>
    <row r="29" spans="3:21 1026:1027" x14ac:dyDescent="0.2">
      <c r="C29" s="1" t="s">
        <v>101</v>
      </c>
      <c r="D29" s="47"/>
      <c r="J29" s="9" t="s">
        <v>6</v>
      </c>
      <c r="K29" s="9"/>
      <c r="L29" s="4" t="s">
        <v>17</v>
      </c>
      <c r="M29" s="9" t="s">
        <v>18</v>
      </c>
      <c r="N29" s="9"/>
      <c r="O29" s="15" t="s">
        <v>19</v>
      </c>
      <c r="P29" s="9" t="s">
        <v>20</v>
      </c>
      <c r="Q29" s="15" t="s">
        <v>21</v>
      </c>
      <c r="R29" s="9" t="s">
        <v>87</v>
      </c>
      <c r="S29" s="15" t="s">
        <v>21</v>
      </c>
    </row>
    <row r="30" spans="3:21 1026:1027" x14ac:dyDescent="0.2">
      <c r="J30" s="9" t="s">
        <v>9</v>
      </c>
      <c r="K30" s="10" t="str">
        <f>calc!F58</f>
        <v>√</v>
      </c>
      <c r="L30" s="12" t="str">
        <f>calc!B63</f>
        <v>192.168.1.0</v>
      </c>
      <c r="M30" s="9" t="s">
        <v>644</v>
      </c>
      <c r="N30" s="10" t="str">
        <f>calc!K125</f>
        <v>√</v>
      </c>
      <c r="O30" s="15" t="s">
        <v>650</v>
      </c>
    </row>
    <row r="31" spans="3:21 1026:1027" x14ac:dyDescent="0.2">
      <c r="L31" s="16"/>
    </row>
    <row r="32" spans="3:21 1026:1027" x14ac:dyDescent="0.2">
      <c r="E32" s="9" t="s">
        <v>22</v>
      </c>
      <c r="F32" s="15" t="s">
        <v>23</v>
      </c>
      <c r="G32" s="17"/>
      <c r="L32" s="16"/>
    </row>
    <row r="33" spans="2:21 1026:1027" x14ac:dyDescent="0.2">
      <c r="I33" s="9" t="s">
        <v>24</v>
      </c>
      <c r="J33" s="9" t="s">
        <v>4</v>
      </c>
      <c r="K33" s="9"/>
      <c r="L33" s="18" t="s">
        <v>25</v>
      </c>
      <c r="M33" s="9" t="s">
        <v>14</v>
      </c>
      <c r="N33" s="9"/>
      <c r="O33" s="27" t="str">
        <f>calc!G66</f>
        <v>SN05529561_SIG_11</v>
      </c>
      <c r="P33" s="9" t="s">
        <v>15</v>
      </c>
      <c r="Q33" s="15" t="s">
        <v>144</v>
      </c>
      <c r="R33" s="9" t="s">
        <v>15</v>
      </c>
      <c r="S33" s="12">
        <f>VLOOKUP(Q33,calc!A140:G170,5,FALSE)</f>
        <v>6</v>
      </c>
      <c r="T33" s="9" t="s">
        <v>16</v>
      </c>
      <c r="U33" s="12">
        <f>VLOOKUP(Q33,calc!A140:G170,6,FALSE)</f>
        <v>20</v>
      </c>
      <c r="AML33" s="1"/>
      <c r="AMM33" s="1"/>
    </row>
    <row r="34" spans="2:21 1026:1027" x14ac:dyDescent="0.2">
      <c r="J34" s="9" t="s">
        <v>6</v>
      </c>
      <c r="K34" s="9"/>
      <c r="L34" s="4" t="s">
        <v>17</v>
      </c>
      <c r="M34" s="9" t="s">
        <v>18</v>
      </c>
      <c r="N34" s="9"/>
      <c r="O34" s="15" t="s">
        <v>19</v>
      </c>
      <c r="P34" s="9" t="s">
        <v>20</v>
      </c>
      <c r="Q34" s="15" t="s">
        <v>21</v>
      </c>
      <c r="R34" s="9" t="s">
        <v>87</v>
      </c>
      <c r="S34" s="15" t="s">
        <v>21</v>
      </c>
    </row>
    <row r="35" spans="2:21 1026:1027" x14ac:dyDescent="0.2">
      <c r="E35" s="1" t="s">
        <v>100</v>
      </c>
      <c r="J35" s="9" t="s">
        <v>9</v>
      </c>
      <c r="K35" s="10" t="str">
        <f>calc!K58</f>
        <v>√</v>
      </c>
      <c r="L35" s="12" t="str">
        <f>calc!G63</f>
        <v>192.168.2.0</v>
      </c>
      <c r="M35" s="9" t="s">
        <v>644</v>
      </c>
      <c r="N35" s="10" t="str">
        <f>calc!K125</f>
        <v>√</v>
      </c>
      <c r="O35" s="15" t="s">
        <v>650</v>
      </c>
    </row>
    <row r="36" spans="2:21 1026:1027" x14ac:dyDescent="0.2">
      <c r="L36" s="16"/>
    </row>
    <row r="37" spans="2:21 1026:1027" x14ac:dyDescent="0.2">
      <c r="L37" s="16"/>
    </row>
    <row r="38" spans="2:21 1026:1027" ht="13.5" thickBot="1" x14ac:dyDescent="0.25">
      <c r="I38" s="9" t="s">
        <v>26</v>
      </c>
      <c r="J38" s="9" t="s">
        <v>4</v>
      </c>
      <c r="K38" s="10" t="str">
        <f>calc!F41</f>
        <v>√</v>
      </c>
      <c r="L38" s="48" t="s">
        <v>27</v>
      </c>
    </row>
    <row r="39" spans="2:21 1026:1027" ht="13.5" thickTop="1" x14ac:dyDescent="0.2">
      <c r="E39" s="51" t="s">
        <v>114</v>
      </c>
      <c r="F39" s="52" t="s">
        <v>79</v>
      </c>
      <c r="J39" s="9" t="s">
        <v>6</v>
      </c>
      <c r="K39" s="10" t="str">
        <f>calc!F45</f>
        <v>√</v>
      </c>
      <c r="L39" s="19" t="str">
        <f>calc!B33</f>
        <v>255.0.0.0</v>
      </c>
    </row>
    <row r="40" spans="2:21 1026:1027" ht="13.5" thickBot="1" x14ac:dyDescent="0.25">
      <c r="E40" s="53" t="s">
        <v>115</v>
      </c>
      <c r="F40" s="54" t="s">
        <v>78</v>
      </c>
      <c r="I40"/>
      <c r="L40" s="16"/>
    </row>
    <row r="41" spans="2:21 1026:1027" ht="13.5" thickTop="1" x14ac:dyDescent="0.2"/>
    <row r="42" spans="2:21 1026:1027" x14ac:dyDescent="0.2">
      <c r="G42" s="17"/>
    </row>
    <row r="43" spans="2:21 1026:1027" x14ac:dyDescent="0.2">
      <c r="B43" s="9" t="s">
        <v>28</v>
      </c>
      <c r="C43" s="3"/>
      <c r="D43" s="48" t="s">
        <v>98</v>
      </c>
      <c r="G43" s="17"/>
    </row>
    <row r="44" spans="2:21 1026:1027" x14ac:dyDescent="0.2">
      <c r="B44" s="9" t="s">
        <v>4</v>
      </c>
      <c r="C44" s="3"/>
      <c r="D44" s="48" t="s">
        <v>108</v>
      </c>
    </row>
    <row r="45" spans="2:21 1026:1027" x14ac:dyDescent="0.2">
      <c r="B45" s="9" t="s">
        <v>6</v>
      </c>
      <c r="C45" s="3"/>
      <c r="D45" s="55" t="str">
        <f>D16</f>
        <v>10.0.0.0</v>
      </c>
    </row>
    <row r="46" spans="2:21 1026:1027" x14ac:dyDescent="0.2">
      <c r="B46" s="9" t="s">
        <v>8</v>
      </c>
      <c r="C46" s="9"/>
      <c r="D46" s="19" t="str">
        <f>L38</f>
        <v>10.10.150.100</v>
      </c>
    </row>
    <row r="47" spans="2:21 1026:1027" x14ac:dyDescent="0.2">
      <c r="M47" s="86" t="s">
        <v>11</v>
      </c>
      <c r="N47" s="86"/>
      <c r="O47" s="86"/>
      <c r="P47" s="86"/>
      <c r="Q47" s="86"/>
      <c r="R47" s="86"/>
      <c r="S47" s="86"/>
    </row>
    <row r="48" spans="2:21 1026:1027" x14ac:dyDescent="0.2">
      <c r="B48" s="9" t="s">
        <v>28</v>
      </c>
      <c r="C48" s="3"/>
      <c r="D48" s="15" t="s">
        <v>107</v>
      </c>
      <c r="I48" s="9" t="s">
        <v>12</v>
      </c>
      <c r="J48" s="9" t="s">
        <v>4</v>
      </c>
      <c r="K48" s="10" t="str">
        <f>calc!F83</f>
        <v>√</v>
      </c>
      <c r="L48" s="19" t="str">
        <f>calc!B72</f>
        <v>192.168.1.2</v>
      </c>
      <c r="M48" s="9" t="s">
        <v>14</v>
      </c>
      <c r="N48" s="9"/>
      <c r="O48" s="27" t="str">
        <f>calc!B67</f>
        <v>SN05380593_SIG_10</v>
      </c>
      <c r="P48" s="9" t="s">
        <v>643</v>
      </c>
      <c r="Q48" s="15" t="s">
        <v>166</v>
      </c>
      <c r="R48" s="9" t="s">
        <v>167</v>
      </c>
      <c r="S48" s="12">
        <f>VLOOKUP(Q48,calc!A140:G170,5,FALSE)</f>
        <v>36</v>
      </c>
      <c r="T48" s="9" t="s">
        <v>16</v>
      </c>
      <c r="U48" s="12">
        <f>VLOOKUP(Q48,calc!A140:G170,6,FALSE)</f>
        <v>80</v>
      </c>
      <c r="AML48" s="1"/>
      <c r="AMM48" s="1"/>
    </row>
    <row r="49" spans="2:21 1026:1027" x14ac:dyDescent="0.2">
      <c r="B49" s="9" t="s">
        <v>4</v>
      </c>
      <c r="C49" s="3"/>
      <c r="D49" s="19" t="str">
        <f>IF(D48="IF 11 (2,4GHz)",calc!G98,calc!B98)</f>
        <v>192.168.2.12</v>
      </c>
      <c r="J49" s="9" t="s">
        <v>6</v>
      </c>
      <c r="K49" s="10" t="str">
        <f>calc!F92</f>
        <v>√</v>
      </c>
      <c r="L49" s="19" t="str">
        <f>L29</f>
        <v>255.255.255.0</v>
      </c>
      <c r="M49" s="9" t="s">
        <v>18</v>
      </c>
      <c r="N49" s="9"/>
      <c r="O49" s="15" t="s">
        <v>19</v>
      </c>
      <c r="P49" s="9" t="s">
        <v>20</v>
      </c>
      <c r="Q49" s="15" t="s">
        <v>29</v>
      </c>
      <c r="R49" s="9" t="s">
        <v>87</v>
      </c>
      <c r="S49" s="15" t="s">
        <v>21</v>
      </c>
    </row>
    <row r="50" spans="2:21 1026:1027" x14ac:dyDescent="0.2">
      <c r="B50" s="9" t="s">
        <v>6</v>
      </c>
      <c r="C50" s="3"/>
      <c r="D50" s="19" t="str">
        <f>IF(D48="IF 11 (2,4GHz)",calc!G101,calc!B101)</f>
        <v>255.255.255.0</v>
      </c>
      <c r="J50" s="9" t="s">
        <v>8</v>
      </c>
      <c r="K50" s="9"/>
      <c r="L50" s="19" t="str">
        <f>L28</f>
        <v>192.168.1.1</v>
      </c>
      <c r="M50" s="9" t="s">
        <v>644</v>
      </c>
      <c r="N50" s="10" t="str">
        <f>calc!K126</f>
        <v>√</v>
      </c>
      <c r="O50" s="15" t="s">
        <v>650</v>
      </c>
    </row>
    <row r="51" spans="2:21 1026:1027" x14ac:dyDescent="0.2">
      <c r="B51" s="9" t="s">
        <v>8</v>
      </c>
      <c r="C51" s="9"/>
      <c r="D51" s="19" t="str">
        <f>IF(D48="IF 11 (2,4GHz)",calc!G110,calc!B110)</f>
        <v>192.168.2.1</v>
      </c>
      <c r="L51" s="16"/>
    </row>
    <row r="52" spans="2:21 1026:1027" x14ac:dyDescent="0.2">
      <c r="L52" s="16"/>
    </row>
    <row r="53" spans="2:21 1026:1027" x14ac:dyDescent="0.2">
      <c r="I53" s="9" t="s">
        <v>24</v>
      </c>
      <c r="J53" s="9" t="s">
        <v>4</v>
      </c>
      <c r="K53" s="10" t="str">
        <f>calc!K83</f>
        <v>√</v>
      </c>
      <c r="L53" s="19" t="str">
        <f>calc!G72</f>
        <v>192.168.2.2</v>
      </c>
      <c r="M53" s="9" t="s">
        <v>14</v>
      </c>
      <c r="N53" s="9"/>
      <c r="O53" s="27" t="str">
        <f>calc!G67</f>
        <v>SN05380593_SIG_11</v>
      </c>
      <c r="P53" s="9" t="s">
        <v>15</v>
      </c>
      <c r="Q53" s="15" t="s">
        <v>144</v>
      </c>
      <c r="R53" s="9" t="s">
        <v>15</v>
      </c>
      <c r="S53" s="12">
        <f>VLOOKUP(Q53,calc!A140:G170,5,FALSE)</f>
        <v>6</v>
      </c>
      <c r="T53" s="9" t="s">
        <v>16</v>
      </c>
      <c r="U53" s="12">
        <f>VLOOKUP(Q53,calc!A140:G170,6,FALSE)</f>
        <v>20</v>
      </c>
      <c r="AML53" s="1"/>
      <c r="AMM53" s="1"/>
    </row>
    <row r="54" spans="2:21 1026:1027" x14ac:dyDescent="0.2">
      <c r="J54" s="9" t="s">
        <v>6</v>
      </c>
      <c r="K54" s="10" t="str">
        <f>calc!K92</f>
        <v>√</v>
      </c>
      <c r="L54" s="19" t="str">
        <f>L34</f>
        <v>255.255.255.0</v>
      </c>
      <c r="M54" s="9" t="s">
        <v>18</v>
      </c>
      <c r="N54" s="9"/>
      <c r="O54" s="15" t="s">
        <v>19</v>
      </c>
      <c r="P54" s="9" t="s">
        <v>20</v>
      </c>
      <c r="Q54" s="15" t="s">
        <v>29</v>
      </c>
      <c r="R54" s="9" t="s">
        <v>87</v>
      </c>
      <c r="S54" s="15" t="s">
        <v>21</v>
      </c>
    </row>
    <row r="55" spans="2:21 1026:1027" x14ac:dyDescent="0.2">
      <c r="M55" s="9" t="s">
        <v>644</v>
      </c>
      <c r="N55" s="10" t="str">
        <f>calc!K126</f>
        <v>√</v>
      </c>
      <c r="O55" s="15" t="s">
        <v>650</v>
      </c>
    </row>
    <row r="56" spans="2:21 1026:1027" x14ac:dyDescent="0.2">
      <c r="B56" s="87" t="s">
        <v>105</v>
      </c>
      <c r="C56" s="87"/>
      <c r="D56" s="87"/>
      <c r="E56" s="87"/>
      <c r="F56" s="87"/>
      <c r="G56" s="87"/>
      <c r="H56" s="87"/>
      <c r="I56" s="87"/>
    </row>
    <row r="57" spans="2:21 1026:1027" x14ac:dyDescent="0.2">
      <c r="B57" s="89" t="s">
        <v>116</v>
      </c>
      <c r="C57" s="89"/>
      <c r="D57" s="89"/>
      <c r="E57" s="89"/>
      <c r="F57" s="89"/>
      <c r="G57" s="89"/>
      <c r="H57" s="89"/>
      <c r="I57" s="89"/>
    </row>
    <row r="58" spans="2:21 1026:1027" x14ac:dyDescent="0.2">
      <c r="B58" s="89" t="s">
        <v>99</v>
      </c>
      <c r="C58" s="89"/>
      <c r="D58" s="89"/>
      <c r="E58" s="89"/>
      <c r="F58" s="89"/>
      <c r="G58" s="89"/>
      <c r="H58" s="89"/>
      <c r="I58" s="89"/>
    </row>
    <row r="59" spans="2:21 1026:1027" x14ac:dyDescent="0.2">
      <c r="B59" s="88" t="str">
        <f>"route ADD "&amp;D16&amp;" MASK "&amp;D13&amp;" "&amp;D51&amp;" -p"</f>
        <v>route ADD 10.0.0.0 MASK 255.0.0.0 192.168.2.1 -p</v>
      </c>
      <c r="C59" s="88"/>
      <c r="D59" s="88"/>
      <c r="E59" s="88"/>
      <c r="F59" s="88"/>
      <c r="G59" s="88"/>
      <c r="H59" s="88"/>
      <c r="I59" s="88"/>
      <c r="J59" s="49" t="s">
        <v>106</v>
      </c>
    </row>
    <row r="60" spans="2:21 1026:1027" x14ac:dyDescent="0.2">
      <c r="B60" s="88"/>
      <c r="C60" s="88"/>
      <c r="D60" s="88"/>
      <c r="E60" s="88"/>
      <c r="F60" s="88"/>
      <c r="G60" s="88"/>
      <c r="H60" s="88"/>
      <c r="I60" s="88"/>
    </row>
    <row r="61" spans="2:21 1026:1027" x14ac:dyDescent="0.2">
      <c r="B61" s="88" t="str">
        <f>"route ADD "&amp;L30&amp;" MASK "&amp;L29&amp;" "&amp;D46&amp;" -p"</f>
        <v>route ADD 192.168.1.0 MASK 255.255.255.0 10.10.150.100 -p</v>
      </c>
      <c r="C61" s="88"/>
      <c r="D61" s="88"/>
      <c r="E61" s="88"/>
      <c r="F61" s="88"/>
      <c r="G61" s="88"/>
      <c r="H61" s="88"/>
      <c r="I61" s="88"/>
      <c r="J61" s="49" t="s">
        <v>106</v>
      </c>
    </row>
    <row r="62" spans="2:21 1026:1027" x14ac:dyDescent="0.2">
      <c r="B62" s="88"/>
      <c r="C62" s="88"/>
      <c r="D62" s="88"/>
      <c r="E62" s="88"/>
      <c r="F62" s="88"/>
      <c r="G62" s="88"/>
      <c r="H62" s="88"/>
      <c r="I62" s="88"/>
      <c r="J62" s="49"/>
    </row>
  </sheetData>
  <mergeCells count="9">
    <mergeCell ref="B60:I60"/>
    <mergeCell ref="B61:I61"/>
    <mergeCell ref="B62:I62"/>
    <mergeCell ref="M27:S27"/>
    <mergeCell ref="M47:S47"/>
    <mergeCell ref="B56:I56"/>
    <mergeCell ref="B57:I57"/>
    <mergeCell ref="B58:I58"/>
    <mergeCell ref="B59:I59"/>
  </mergeCells>
  <conditionalFormatting sqref="C16 C12 G12:G13 K12:K13 K38:K39 K35 K30 K48:K49 K53:K54">
    <cfRule type="cellIs" dxfId="14" priority="13" operator="equal">
      <formula>"√"</formula>
    </cfRule>
    <cfRule type="cellIs" dxfId="13" priority="14" operator="notEqual">
      <formula>"√"</formula>
    </cfRule>
    <cfRule type="cellIs" dxfId="12" priority="15" operator="equal">
      <formula>0</formula>
    </cfRule>
  </conditionalFormatting>
  <conditionalFormatting sqref="N30">
    <cfRule type="cellIs" dxfId="11" priority="10" operator="equal">
      <formula>"√"</formula>
    </cfRule>
    <cfRule type="cellIs" dxfId="10" priority="11" operator="notEqual">
      <formula>"√"</formula>
    </cfRule>
    <cfRule type="cellIs" dxfId="9" priority="12" operator="equal">
      <formula>0</formula>
    </cfRule>
  </conditionalFormatting>
  <conditionalFormatting sqref="N35">
    <cfRule type="cellIs" dxfId="8" priority="7" operator="equal">
      <formula>"√"</formula>
    </cfRule>
    <cfRule type="cellIs" dxfId="7" priority="8" operator="notEqual">
      <formula>"√"</formula>
    </cfRule>
    <cfRule type="cellIs" dxfId="6" priority="9" operator="equal">
      <formula>0</formula>
    </cfRule>
  </conditionalFormatting>
  <conditionalFormatting sqref="N50">
    <cfRule type="cellIs" dxfId="5" priority="4" operator="equal">
      <formula>"√"</formula>
    </cfRule>
    <cfRule type="cellIs" dxfId="4" priority="5" operator="notEqual">
      <formula>"√"</formula>
    </cfRule>
    <cfRule type="cellIs" dxfId="3" priority="6" operator="equal">
      <formula>0</formula>
    </cfRule>
  </conditionalFormatting>
  <conditionalFormatting sqref="N55">
    <cfRule type="cellIs" dxfId="2" priority="1" operator="equal">
      <formula>"√"</formula>
    </cfRule>
    <cfRule type="cellIs" dxfId="1" priority="2" operator="notEqual">
      <formula>"√"</formula>
    </cfRule>
    <cfRule type="cellIs" dxfId="0" priority="3" operator="equal">
      <formula>0</formula>
    </cfRule>
  </conditionalFormatting>
  <dataValidations count="4">
    <dataValidation type="textLength" allowBlank="1" showInputMessage="1" showErrorMessage="1" prompt="max. 31 characters" sqref="O28 O48 O53 O33" xr:uid="{41538FC1-45C6-4920-88F2-D21B0CC07804}">
      <formula1>1</formula1>
      <formula2>31</formula2>
    </dataValidation>
    <dataValidation operator="equal" allowBlank="1" showErrorMessage="1" sqref="S33 S53" xr:uid="{43471FBF-CF15-405E-939A-D2F88842039E}"/>
    <dataValidation type="list" operator="equal" allowBlank="1" showErrorMessage="1" sqref="D48" xr:uid="{45E219AC-E31F-48B7-AB15-F390EB875966}">
      <mc:AlternateContent xmlns:x12ac="http://schemas.microsoft.com/office/spreadsheetml/2011/1/ac" xmlns:mc="http://schemas.openxmlformats.org/markup-compatibility/2006">
        <mc:Choice Requires="x12ac">
          <x12ac:list>IF 10 (5GHz),"IF 11 (2,4GHz)"</x12ac:list>
        </mc:Choice>
        <mc:Fallback>
          <formula1>"IF 10 (5GHz),IF 11 (2,4GHz)"</formula1>
        </mc:Fallback>
      </mc:AlternateContent>
    </dataValidation>
    <dataValidation type="list" operator="equal" allowBlank="1" showErrorMessage="1" sqref="Q49 S54 Q29 S29 S34 S49 Q54 Q34" xr:uid="{4C7777CF-35AB-4A82-A923-38C6A6676AC2}">
      <formula1>"yes,no"</formula1>
      <formula2>0</formula2>
    </dataValidation>
  </dataValidations>
  <pageMargins left="0.78749999999999998" right="0.78749999999999998" top="1.0249999999999999" bottom="1.0249999999999999" header="0.78749999999999998" footer="0.78749999999999998"/>
  <pageSetup paperSize="9" scale="55" orientation="landscape" useFirstPageNumber="1" r:id="rId1"/>
  <headerFooter>
    <oddHeader>&amp;C&amp;A</oddHeader>
    <oddFooter>&amp;CSeite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 xr:uid="{8D07767A-192B-4E7B-B971-D8CC79D2794B}">
          <x14:formula1>
            <xm:f>calc!$E$125:$E$129</xm:f>
          </x14:formula1>
          <xm:sqref>O35 O55 O50 O30</xm:sqref>
        </x14:dataValidation>
        <x14:dataValidation type="list" allowBlank="1" showInputMessage="1" showErrorMessage="1" xr:uid="{B6B88B44-57A7-4D88-AAF2-2BD81E96959A}">
          <x14:formula1>
            <xm:f>calc!$B$175:$B$413</xm:f>
          </x14:formula1>
          <xm:sqref>F32</xm:sqref>
        </x14:dataValidation>
        <x14:dataValidation type="list" operator="equal" allowBlank="1" showErrorMessage="1" xr:uid="{D5F3EB35-9BA7-4C39-B527-111A0BE0404B}">
          <x14:formula1>
            <xm:f>calc!$A$140:$A$152</xm:f>
          </x14:formula1>
          <xm:sqref>Q33 Q53</xm:sqref>
        </x14:dataValidation>
        <x14:dataValidation type="list" allowBlank="1" showInputMessage="1" showErrorMessage="1" xr:uid="{A2027D05-2B0E-472D-B76E-079550D46867}">
          <x14:formula1>
            <xm:f>calc!$A$156:$A$170</xm:f>
          </x14:formula1>
          <xm:sqref>Q28 Q48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413"/>
  <sheetViews>
    <sheetView zoomScale="85" zoomScaleNormal="85" workbookViewId="0">
      <pane ySplit="24" topLeftCell="A25" activePane="bottomLeft" state="frozen"/>
      <selection pane="bottomLeft" activeCell="A3" sqref="A3"/>
    </sheetView>
  </sheetViews>
  <sheetFormatPr baseColWidth="10" defaultColWidth="9.140625" defaultRowHeight="12.75" x14ac:dyDescent="0.2"/>
  <cols>
    <col min="1" max="1" width="20.42578125" style="69" customWidth="1"/>
    <col min="2" max="5" width="10.42578125" style="68" customWidth="1"/>
    <col min="6" max="1025" width="11.5703125" style="69"/>
    <col min="1026" max="16384" width="9.140625" style="69"/>
  </cols>
  <sheetData>
    <row r="1" spans="1:16" ht="25.5" customHeight="1" x14ac:dyDescent="0.2">
      <c r="A1" s="83" t="s">
        <v>95</v>
      </c>
    </row>
    <row r="2" spans="1:16" x14ac:dyDescent="0.2">
      <c r="A2" s="70" t="s">
        <v>55</v>
      </c>
    </row>
    <row r="3" spans="1:16" x14ac:dyDescent="0.2">
      <c r="A3" s="69" t="s">
        <v>4</v>
      </c>
      <c r="B3" s="91" t="str">
        <f>Configuration!D12</f>
        <v>10.10.150.1</v>
      </c>
      <c r="C3" s="91"/>
      <c r="D3" s="91"/>
      <c r="E3" s="91"/>
      <c r="G3" s="91" t="str">
        <f>G5&amp;"."&amp;H5&amp;"."&amp;I5&amp;"."&amp;J5</f>
        <v>10.10.150.2</v>
      </c>
      <c r="H3" s="91"/>
      <c r="I3" s="91"/>
      <c r="J3" s="91"/>
      <c r="L3" s="91" t="str">
        <f>L5&amp;"."&amp;M5&amp;"."&amp;N5&amp;"."&amp;O5</f>
        <v>10.10.150.3</v>
      </c>
      <c r="M3" s="91"/>
      <c r="N3" s="91"/>
      <c r="O3" s="91"/>
    </row>
    <row r="4" spans="1:16" x14ac:dyDescent="0.2">
      <c r="A4" s="69" t="s">
        <v>56</v>
      </c>
      <c r="B4" s="71">
        <f>FIND(".", $B$3)</f>
        <v>3</v>
      </c>
      <c r="C4" s="71">
        <f>FIND(".", $B$3,B4+1)</f>
        <v>6</v>
      </c>
      <c r="D4" s="71">
        <f>FIND(".", $B$3,C4+1)</f>
        <v>10</v>
      </c>
    </row>
    <row r="5" spans="1:16" x14ac:dyDescent="0.2">
      <c r="A5" s="69" t="s">
        <v>57</v>
      </c>
      <c r="B5" s="71" t="str">
        <f>MID($B$3,1,B4-1)</f>
        <v>10</v>
      </c>
      <c r="C5" s="71" t="str">
        <f>MID($B$3,B4+1,C4-B4-1)</f>
        <v>10</v>
      </c>
      <c r="D5" s="71" t="str">
        <f>MID($B$3,C4+1,D4-C4-1)</f>
        <v>150</v>
      </c>
      <c r="E5" s="71" t="str">
        <f>MID($B$3,D4+1,3)</f>
        <v>1</v>
      </c>
      <c r="G5" s="72" t="str">
        <f>B5</f>
        <v>10</v>
      </c>
      <c r="H5" s="72" t="str">
        <f>C5</f>
        <v>10</v>
      </c>
      <c r="I5" s="72" t="str">
        <f>D5</f>
        <v>150</v>
      </c>
      <c r="J5" s="72">
        <f>E5+1</f>
        <v>2</v>
      </c>
      <c r="L5" s="72" t="str">
        <f>G5</f>
        <v>10</v>
      </c>
      <c r="M5" s="72" t="str">
        <f>H5</f>
        <v>10</v>
      </c>
      <c r="N5" s="72" t="str">
        <f>I5</f>
        <v>150</v>
      </c>
      <c r="O5" s="72">
        <f>J5+1</f>
        <v>3</v>
      </c>
    </row>
    <row r="6" spans="1:16" x14ac:dyDescent="0.2">
      <c r="B6" s="71"/>
      <c r="C6" s="71"/>
      <c r="D6" s="71"/>
      <c r="E6" s="71"/>
      <c r="G6" s="72"/>
      <c r="H6" s="72"/>
      <c r="I6" s="72"/>
      <c r="J6" s="72"/>
      <c r="L6" s="72"/>
      <c r="M6" s="72"/>
      <c r="N6" s="72"/>
      <c r="O6" s="72"/>
    </row>
    <row r="7" spans="1:16" x14ac:dyDescent="0.2">
      <c r="A7" s="69" t="s">
        <v>6</v>
      </c>
      <c r="B7" s="91" t="str">
        <f>Configuration!D13</f>
        <v>255.0.0.0</v>
      </c>
      <c r="C7" s="91"/>
      <c r="D7" s="91"/>
      <c r="E7" s="91"/>
      <c r="G7" s="92" t="str">
        <f>B7</f>
        <v>255.0.0.0</v>
      </c>
      <c r="H7" s="92"/>
      <c r="I7" s="92"/>
      <c r="J7" s="92"/>
      <c r="L7" s="92" t="str">
        <f>B7</f>
        <v>255.0.0.0</v>
      </c>
      <c r="M7" s="92"/>
      <c r="N7" s="92"/>
      <c r="O7" s="92"/>
    </row>
    <row r="8" spans="1:16" x14ac:dyDescent="0.2">
      <c r="A8" s="69" t="s">
        <v>56</v>
      </c>
      <c r="B8" s="71">
        <f>FIND(".", $B$7)</f>
        <v>4</v>
      </c>
      <c r="C8" s="71">
        <f>FIND(".", $B$7,B8+1)</f>
        <v>6</v>
      </c>
      <c r="D8" s="71">
        <f>FIND(".", $B$7,C8+1)</f>
        <v>8</v>
      </c>
      <c r="G8" s="71"/>
      <c r="H8" s="71"/>
      <c r="I8" s="71"/>
      <c r="J8" s="68"/>
      <c r="L8" s="71"/>
      <c r="M8" s="71"/>
      <c r="N8" s="71"/>
      <c r="O8" s="68"/>
    </row>
    <row r="9" spans="1:16" x14ac:dyDescent="0.2">
      <c r="A9" s="69" t="s">
        <v>58</v>
      </c>
      <c r="B9" s="71" t="str">
        <f>MID($B$7,1,B8-1)</f>
        <v>255</v>
      </c>
      <c r="C9" s="71" t="str">
        <f>MID($B$7,B8+1,C8-B8-1)</f>
        <v>0</v>
      </c>
      <c r="D9" s="71" t="str">
        <f>MID($B$7,C8+1,D8-C8-1)</f>
        <v>0</v>
      </c>
      <c r="E9" s="71" t="str">
        <f>MID($B$7,D8+1,3)</f>
        <v>0</v>
      </c>
      <c r="G9" s="71"/>
      <c r="H9" s="71"/>
      <c r="I9" s="71"/>
      <c r="J9" s="71"/>
      <c r="L9" s="71"/>
      <c r="M9" s="71"/>
      <c r="N9" s="71"/>
      <c r="O9" s="71"/>
    </row>
    <row r="10" spans="1:16" x14ac:dyDescent="0.2">
      <c r="B10" s="71"/>
      <c r="C10" s="71"/>
      <c r="D10" s="71"/>
      <c r="E10" s="71"/>
    </row>
    <row r="11" spans="1:16" x14ac:dyDescent="0.2">
      <c r="A11" s="69" t="s">
        <v>59</v>
      </c>
      <c r="B11" s="71">
        <f>_xlfn.BITAND(B5,B9)</f>
        <v>10</v>
      </c>
      <c r="C11" s="71">
        <f>_xlfn.BITAND(C5,C9)</f>
        <v>0</v>
      </c>
      <c r="D11" s="71">
        <f>_xlfn.BITAND(D5,D9)</f>
        <v>0</v>
      </c>
      <c r="E11" s="71">
        <f>_xlfn.BITAND(E5,E9)</f>
        <v>0</v>
      </c>
    </row>
    <row r="12" spans="1:16" x14ac:dyDescent="0.2">
      <c r="A12" s="69" t="s">
        <v>60</v>
      </c>
      <c r="B12" s="73" t="str">
        <f>B11&amp;"."&amp;C11&amp;"."&amp;D11&amp;"."&amp;E11</f>
        <v>10.0.0.0</v>
      </c>
      <c r="C12" s="71"/>
      <c r="D12" s="71"/>
      <c r="E12" s="71"/>
    </row>
    <row r="14" spans="1:16" x14ac:dyDescent="0.2">
      <c r="A14" s="70" t="s">
        <v>61</v>
      </c>
    </row>
    <row r="15" spans="1:16" x14ac:dyDescent="0.2">
      <c r="A15" s="69" t="s">
        <v>62</v>
      </c>
      <c r="B15" s="91" t="str">
        <f>Configuration!D12</f>
        <v>10.10.150.1</v>
      </c>
      <c r="C15" s="91"/>
      <c r="D15" s="91"/>
      <c r="E15" s="91"/>
      <c r="F15" s="71" t="str">
        <f>IF(B15&lt;&gt;B30,"√","X")</f>
        <v>√</v>
      </c>
      <c r="G15" s="91" t="str">
        <f>Configuration!H12</f>
        <v>10.10.150.2</v>
      </c>
      <c r="H15" s="91"/>
      <c r="I15" s="91"/>
      <c r="J15" s="91"/>
      <c r="K15" s="71" t="str">
        <f>IF(G15&lt;&gt;B30,"√","X")</f>
        <v>√</v>
      </c>
      <c r="L15" s="91" t="str">
        <f>Configuration!L12</f>
        <v>10.10.150.3</v>
      </c>
      <c r="M15" s="91"/>
      <c r="N15" s="91"/>
      <c r="O15" s="91"/>
      <c r="P15" s="71" t="str">
        <f>IF(L15&lt;&gt;B30,"√","X")</f>
        <v>√</v>
      </c>
    </row>
    <row r="16" spans="1:16" x14ac:dyDescent="0.2">
      <c r="A16" s="69" t="s">
        <v>56</v>
      </c>
      <c r="B16" s="71">
        <f>FIND(".", B15)</f>
        <v>3</v>
      </c>
      <c r="C16" s="71">
        <f>FIND(".", B15,B16+1)</f>
        <v>6</v>
      </c>
      <c r="D16" s="71">
        <f>FIND(".", B15,C16+1)</f>
        <v>10</v>
      </c>
      <c r="E16" s="71"/>
      <c r="F16" s="71"/>
      <c r="G16" s="71">
        <f>FIND(".", G15)</f>
        <v>3</v>
      </c>
      <c r="H16" s="71">
        <f>FIND(".", G15,G16+1)</f>
        <v>6</v>
      </c>
      <c r="I16" s="71">
        <f>FIND(".", G15,H16+1)</f>
        <v>10</v>
      </c>
      <c r="J16" s="71"/>
      <c r="K16" s="71"/>
      <c r="L16" s="71">
        <f>FIND(".", L15)</f>
        <v>3</v>
      </c>
      <c r="M16" s="71">
        <f>FIND(".", L15,L16+1)</f>
        <v>6</v>
      </c>
      <c r="N16" s="71">
        <f>FIND(".", L15,M16+1)</f>
        <v>10</v>
      </c>
      <c r="O16" s="71"/>
      <c r="P16" s="71"/>
    </row>
    <row r="17" spans="1:16" x14ac:dyDescent="0.2">
      <c r="A17" s="69" t="s">
        <v>57</v>
      </c>
      <c r="B17" s="71" t="str">
        <f>MID(B15,1,B16-1)</f>
        <v>10</v>
      </c>
      <c r="C17" s="71" t="str">
        <f>MID(B15,B16+1,C16-B16-1)</f>
        <v>10</v>
      </c>
      <c r="D17" s="71" t="str">
        <f>MID(B15,C16+1,D16-C16-1)</f>
        <v>150</v>
      </c>
      <c r="E17" s="71" t="str">
        <f>MID(B15,D16+1,3)</f>
        <v>1</v>
      </c>
      <c r="F17" s="71"/>
      <c r="G17" s="71" t="str">
        <f>MID(G15,1,G16-1)</f>
        <v>10</v>
      </c>
      <c r="H17" s="71" t="str">
        <f>MID(G15,G16+1,H16-G16-1)</f>
        <v>10</v>
      </c>
      <c r="I17" s="71" t="str">
        <f>MID(G15,H16+1,I16-H16-1)</f>
        <v>150</v>
      </c>
      <c r="J17" s="71" t="str">
        <f>MID(G15,I16+1,3)</f>
        <v>2</v>
      </c>
      <c r="K17" s="71"/>
      <c r="L17" s="71" t="str">
        <f>MID(L15,1,L16-1)</f>
        <v>10</v>
      </c>
      <c r="M17" s="71" t="str">
        <f>MID(L15,L16+1,M16-L16-1)</f>
        <v>10</v>
      </c>
      <c r="N17" s="71" t="str">
        <f>MID(L15,M16+1,N16-M16-1)</f>
        <v>150</v>
      </c>
      <c r="O17" s="71" t="str">
        <f>MID(L15,N16+1,3)</f>
        <v>3</v>
      </c>
      <c r="P17" s="71"/>
    </row>
    <row r="18" spans="1:16" x14ac:dyDescent="0.2"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</row>
    <row r="19" spans="1:16" x14ac:dyDescent="0.2">
      <c r="A19" s="69" t="s">
        <v>6</v>
      </c>
      <c r="B19" s="91" t="str">
        <f>Configuration!D13</f>
        <v>255.0.0.0</v>
      </c>
      <c r="C19" s="91"/>
      <c r="D19" s="91"/>
      <c r="E19" s="91"/>
      <c r="F19" s="71"/>
      <c r="G19" s="91" t="str">
        <f>Configuration!H13</f>
        <v>255.0.0.0</v>
      </c>
      <c r="H19" s="91"/>
      <c r="I19" s="91"/>
      <c r="J19" s="91"/>
      <c r="K19" s="71" t="str">
        <f>IF(G19=B19,"√","X")</f>
        <v>√</v>
      </c>
      <c r="L19" s="91" t="str">
        <f>Configuration!L13</f>
        <v>255.0.0.0</v>
      </c>
      <c r="M19" s="91"/>
      <c r="N19" s="91"/>
      <c r="O19" s="91"/>
      <c r="P19" s="71" t="str">
        <f>IF(L19=G19,"√","X")</f>
        <v>√</v>
      </c>
    </row>
    <row r="20" spans="1:16" x14ac:dyDescent="0.2">
      <c r="A20" s="69" t="s">
        <v>56</v>
      </c>
      <c r="B20" s="71">
        <f>FIND(".", B19)</f>
        <v>4</v>
      </c>
      <c r="C20" s="71">
        <f>FIND(".", B19,B20+1)</f>
        <v>6</v>
      </c>
      <c r="D20" s="71">
        <f>FIND(".", B19,C20+1)</f>
        <v>8</v>
      </c>
      <c r="E20" s="71"/>
      <c r="F20" s="71"/>
      <c r="G20" s="71">
        <f>FIND(".", G19)</f>
        <v>4</v>
      </c>
      <c r="H20" s="71">
        <f>FIND(".", G19,G20+1)</f>
        <v>6</v>
      </c>
      <c r="I20" s="71">
        <f>FIND(".", G19,H20+1)</f>
        <v>8</v>
      </c>
      <c r="J20" s="71"/>
      <c r="K20" s="71"/>
      <c r="L20" s="71">
        <f>FIND(".", L19)</f>
        <v>4</v>
      </c>
      <c r="M20" s="71">
        <f>FIND(".", L19,L20+1)</f>
        <v>6</v>
      </c>
      <c r="N20" s="71">
        <f>FIND(".", L19,M20+1)</f>
        <v>8</v>
      </c>
      <c r="O20" s="71"/>
      <c r="P20" s="71"/>
    </row>
    <row r="21" spans="1:16" x14ac:dyDescent="0.2">
      <c r="A21" s="69" t="s">
        <v>58</v>
      </c>
      <c r="B21" s="71" t="str">
        <f>MID(B19,1,B20-1)</f>
        <v>255</v>
      </c>
      <c r="C21" s="71" t="str">
        <f>MID(B19,B20+1,C20-B20-1)</f>
        <v>0</v>
      </c>
      <c r="D21" s="71" t="str">
        <f>MID(B19,C20+1,D20-C20-1)</f>
        <v>0</v>
      </c>
      <c r="E21" s="71" t="str">
        <f>MID(B19,D20+1,3)</f>
        <v>0</v>
      </c>
      <c r="F21" s="71"/>
      <c r="G21" s="71" t="str">
        <f>MID(G19,1,G20-1)</f>
        <v>255</v>
      </c>
      <c r="H21" s="71" t="str">
        <f>MID(G19,G20+1,H20-G20-1)</f>
        <v>0</v>
      </c>
      <c r="I21" s="71" t="str">
        <f>MID(G19,H20+1,I20-H20-1)</f>
        <v>0</v>
      </c>
      <c r="J21" s="71" t="str">
        <f>MID(G19,I20+1,3)</f>
        <v>0</v>
      </c>
      <c r="K21" s="71"/>
      <c r="L21" s="71" t="str">
        <f>MID(L19,1,L20-1)</f>
        <v>255</v>
      </c>
      <c r="M21" s="71" t="str">
        <f>MID(L19,L20+1,M20-L20-1)</f>
        <v>0</v>
      </c>
      <c r="N21" s="71" t="str">
        <f>MID(L19,M20+1,N20-M20-1)</f>
        <v>0</v>
      </c>
      <c r="O21" s="71" t="str">
        <f>MID(L19,N20+1,3)</f>
        <v>0</v>
      </c>
      <c r="P21" s="71"/>
    </row>
    <row r="22" spans="1:16" x14ac:dyDescent="0.2">
      <c r="A22" s="69" t="s">
        <v>59</v>
      </c>
      <c r="B22" s="71">
        <f>_xlfn.BITAND(B17,B21)</f>
        <v>10</v>
      </c>
      <c r="C22" s="71">
        <f>_xlfn.BITAND(C17,C21)</f>
        <v>0</v>
      </c>
      <c r="D22" s="71">
        <f>_xlfn.BITAND(D17,D21)</f>
        <v>0</v>
      </c>
      <c r="E22" s="71">
        <f>_xlfn.BITAND(E17,E21)</f>
        <v>0</v>
      </c>
      <c r="F22" s="71"/>
      <c r="G22" s="71">
        <f>_xlfn.BITAND(G17,G21)</f>
        <v>10</v>
      </c>
      <c r="H22" s="71">
        <f>_xlfn.BITAND(H17,H21)</f>
        <v>0</v>
      </c>
      <c r="I22" s="71">
        <f>_xlfn.BITAND(I17,I21)</f>
        <v>0</v>
      </c>
      <c r="J22" s="71">
        <f>_xlfn.BITAND(J17,J21)</f>
        <v>0</v>
      </c>
      <c r="K22" s="71"/>
      <c r="L22" s="71">
        <f>_xlfn.BITAND(L17,L21)</f>
        <v>10</v>
      </c>
      <c r="M22" s="71">
        <f>_xlfn.BITAND(M17,M21)</f>
        <v>0</v>
      </c>
      <c r="N22" s="71">
        <f>_xlfn.BITAND(N17,N21)</f>
        <v>0</v>
      </c>
      <c r="O22" s="71">
        <f>_xlfn.BITAND(O17,O21)</f>
        <v>0</v>
      </c>
      <c r="P22" s="71"/>
    </row>
    <row r="23" spans="1:16" x14ac:dyDescent="0.2">
      <c r="A23" s="69" t="s">
        <v>60</v>
      </c>
      <c r="B23" s="73" t="str">
        <f>B22&amp;"."&amp;C22&amp;"."&amp;D22&amp;"."&amp;E22</f>
        <v>10.0.0.0</v>
      </c>
      <c r="C23" s="71"/>
      <c r="D23" s="71"/>
      <c r="E23" s="71"/>
      <c r="F23" s="71"/>
      <c r="G23" s="71" t="str">
        <f>G22&amp;"."&amp;H22&amp;"."&amp;I22&amp;"."&amp;J22</f>
        <v>10.0.0.0</v>
      </c>
      <c r="H23" s="71"/>
      <c r="I23" s="71"/>
      <c r="J23" s="71"/>
      <c r="K23" s="71"/>
      <c r="L23" s="71" t="str">
        <f>L22&amp;"."&amp;M22&amp;"."&amp;N22&amp;"."&amp;O22</f>
        <v>10.0.0.0</v>
      </c>
      <c r="M23" s="71"/>
      <c r="N23" s="71"/>
      <c r="O23" s="71"/>
      <c r="P23" s="71"/>
    </row>
    <row r="24" spans="1:16" x14ac:dyDescent="0.2">
      <c r="A24" s="69" t="s">
        <v>63</v>
      </c>
      <c r="B24" s="74" t="str">
        <f>IF(AND(B23=G23,B23=L23),"√","X")</f>
        <v>√</v>
      </c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</row>
    <row r="25" spans="1:16" x14ac:dyDescent="0.2"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</row>
    <row r="26" spans="1:16" x14ac:dyDescent="0.2"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</row>
    <row r="27" spans="1:16" x14ac:dyDescent="0.2"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</row>
    <row r="28" spans="1:16" x14ac:dyDescent="0.2">
      <c r="A28" s="70" t="s">
        <v>64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</row>
    <row r="29" spans="1:16" x14ac:dyDescent="0.2">
      <c r="A29" s="69" t="s">
        <v>57</v>
      </c>
      <c r="B29" s="71">
        <f>B22</f>
        <v>10</v>
      </c>
      <c r="C29" s="71">
        <f>C22</f>
        <v>0</v>
      </c>
      <c r="D29" s="71">
        <f>D22</f>
        <v>0</v>
      </c>
      <c r="E29" s="71">
        <f>MAX(E17*1,J17*1,O17*1)+1</f>
        <v>4</v>
      </c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</row>
    <row r="30" spans="1:16" x14ac:dyDescent="0.2">
      <c r="A30" s="69" t="s">
        <v>62</v>
      </c>
      <c r="B30" s="91" t="str">
        <f>B29&amp;"."&amp;C29&amp;"."&amp;D29&amp;"."&amp;E29</f>
        <v>10.0.0.4</v>
      </c>
      <c r="C30" s="91"/>
      <c r="D30" s="91"/>
      <c r="E30" s="91"/>
      <c r="F30" s="71" t="str">
        <f>IF(AND(B30&lt;&gt;B15,B30&lt;&gt;G15,B30&lt;&gt;L15),"√","X")</f>
        <v>√</v>
      </c>
      <c r="G30" s="71"/>
      <c r="H30" s="71"/>
      <c r="I30" s="71"/>
      <c r="J30" s="71"/>
      <c r="K30" s="71"/>
      <c r="L30" s="71"/>
      <c r="M30" s="71"/>
      <c r="N30" s="71"/>
      <c r="O30" s="71"/>
      <c r="P30" s="71"/>
    </row>
    <row r="31" spans="1:16" x14ac:dyDescent="0.2">
      <c r="A31" s="69" t="s">
        <v>56</v>
      </c>
      <c r="B31" s="71">
        <f>FIND(".", B30)</f>
        <v>3</v>
      </c>
      <c r="C31" s="71">
        <f>FIND(".", B30,B31+1)</f>
        <v>5</v>
      </c>
      <c r="D31" s="71">
        <f>FIND(".", B30,C31+1)</f>
        <v>7</v>
      </c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</row>
    <row r="32" spans="1:16" x14ac:dyDescent="0.2"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</row>
    <row r="33" spans="1:16" s="76" customFormat="1" x14ac:dyDescent="0.2">
      <c r="A33" s="69" t="s">
        <v>6</v>
      </c>
      <c r="B33" s="91" t="str">
        <f>B19</f>
        <v>255.0.0.0</v>
      </c>
      <c r="C33" s="91"/>
      <c r="D33" s="91"/>
      <c r="E33" s="91"/>
      <c r="F33" s="71"/>
      <c r="G33" s="75"/>
      <c r="H33" s="75"/>
      <c r="I33" s="75"/>
      <c r="J33" s="75"/>
      <c r="K33" s="75"/>
      <c r="L33" s="75"/>
      <c r="M33" s="75"/>
      <c r="N33" s="75"/>
      <c r="O33" s="75"/>
      <c r="P33" s="75"/>
    </row>
    <row r="34" spans="1:16" s="76" customFormat="1" x14ac:dyDescent="0.2">
      <c r="A34" s="69" t="s">
        <v>56</v>
      </c>
      <c r="B34" s="71">
        <f>FIND(".", B33)</f>
        <v>4</v>
      </c>
      <c r="C34" s="71">
        <f>FIND(".", B33,B34+1)</f>
        <v>6</v>
      </c>
      <c r="D34" s="71">
        <f>FIND(".", B33,C34+1)</f>
        <v>8</v>
      </c>
      <c r="E34" s="71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</row>
    <row r="35" spans="1:16" s="76" customFormat="1" x14ac:dyDescent="0.2">
      <c r="A35" s="69" t="s">
        <v>58</v>
      </c>
      <c r="B35" s="71" t="str">
        <f>MID(B33,1,B34-1)</f>
        <v>255</v>
      </c>
      <c r="C35" s="71" t="str">
        <f>MID(B33,B34+1,C34-B34-1)</f>
        <v>0</v>
      </c>
      <c r="D35" s="71" t="str">
        <f>MID(B33,C34+1,D34-C34-1)</f>
        <v>0</v>
      </c>
      <c r="E35" s="71" t="str">
        <f>MID(B33,D34+1,3)</f>
        <v>0</v>
      </c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</row>
    <row r="36" spans="1:16" x14ac:dyDescent="0.2">
      <c r="A36" s="69" t="s">
        <v>59</v>
      </c>
      <c r="B36" s="71">
        <f>_xlfn.BITAND(B29,B35)</f>
        <v>10</v>
      </c>
      <c r="C36" s="71">
        <f>_xlfn.BITAND(C29,C35)</f>
        <v>0</v>
      </c>
      <c r="D36" s="71">
        <f>_xlfn.BITAND(D29,D35)</f>
        <v>0</v>
      </c>
      <c r="E36" s="71">
        <f>_xlfn.BITAND(E29,E35)</f>
        <v>0</v>
      </c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</row>
    <row r="37" spans="1:16" x14ac:dyDescent="0.2">
      <c r="A37" s="69" t="s">
        <v>60</v>
      </c>
      <c r="B37" s="73" t="str">
        <f>B36&amp;"."&amp;C36&amp;"."&amp;D36&amp;"."&amp;E36</f>
        <v>10.0.0.0</v>
      </c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</row>
    <row r="38" spans="1:16" x14ac:dyDescent="0.2"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</row>
    <row r="39" spans="1:16" x14ac:dyDescent="0.2"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</row>
    <row r="40" spans="1:16" x14ac:dyDescent="0.2">
      <c r="A40" s="70" t="s">
        <v>65</v>
      </c>
    </row>
    <row r="41" spans="1:16" x14ac:dyDescent="0.2">
      <c r="A41" s="69" t="s">
        <v>62</v>
      </c>
      <c r="B41" s="91" t="str">
        <f>Configuration!L38</f>
        <v>10.10.150.100</v>
      </c>
      <c r="C41" s="91"/>
      <c r="D41" s="91"/>
      <c r="E41" s="91"/>
      <c r="F41" s="71" t="str">
        <f>IF(AND(B41&lt;&gt;B15,B41&lt;&gt;G15,B41&lt;&gt;L15),"√","X")</f>
        <v>√</v>
      </c>
      <c r="G41" s="91"/>
      <c r="H41" s="91"/>
      <c r="I41" s="91"/>
      <c r="J41" s="91"/>
      <c r="K41" s="71"/>
      <c r="L41" s="91"/>
      <c r="M41" s="91"/>
      <c r="N41" s="91"/>
      <c r="O41" s="91"/>
      <c r="P41" s="71"/>
    </row>
    <row r="42" spans="1:16" x14ac:dyDescent="0.2">
      <c r="A42" s="69" t="s">
        <v>56</v>
      </c>
      <c r="B42" s="71">
        <f>FIND(".", B41)</f>
        <v>3</v>
      </c>
      <c r="C42" s="71">
        <f>FIND(".", B41,B42+1)</f>
        <v>6</v>
      </c>
      <c r="D42" s="71">
        <f>FIND(".", B41,C42+1)</f>
        <v>10</v>
      </c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</row>
    <row r="43" spans="1:16" x14ac:dyDescent="0.2">
      <c r="A43" s="69" t="s">
        <v>57</v>
      </c>
      <c r="B43" s="71" t="str">
        <f>MID(B41,1,B42-1)</f>
        <v>10</v>
      </c>
      <c r="C43" s="71" t="str">
        <f>MID(B41,B42+1,C42-B42-1)</f>
        <v>10</v>
      </c>
      <c r="D43" s="71" t="str">
        <f>MID(B41,C42+1,D42-C42-1)</f>
        <v>150</v>
      </c>
      <c r="E43" s="71" t="str">
        <f>MID(B41,D42+1,3)</f>
        <v>100</v>
      </c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</row>
    <row r="44" spans="1:16" x14ac:dyDescent="0.2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</row>
    <row r="45" spans="1:16" x14ac:dyDescent="0.2">
      <c r="A45" s="69" t="s">
        <v>6</v>
      </c>
      <c r="B45" s="91" t="str">
        <f>Configuration!L39</f>
        <v>255.0.0.0</v>
      </c>
      <c r="C45" s="91"/>
      <c r="D45" s="91"/>
      <c r="E45" s="91"/>
      <c r="F45" s="71" t="str">
        <f>IF(B49=B37,"√","X")</f>
        <v>√</v>
      </c>
      <c r="G45" s="71"/>
      <c r="H45" s="71"/>
      <c r="I45" s="71"/>
      <c r="J45" s="71"/>
      <c r="K45" s="71"/>
      <c r="L45" s="71"/>
      <c r="M45" s="71"/>
      <c r="N45" s="71"/>
      <c r="O45" s="71"/>
      <c r="P45" s="71"/>
    </row>
    <row r="46" spans="1:16" x14ac:dyDescent="0.2">
      <c r="A46" s="69" t="s">
        <v>56</v>
      </c>
      <c r="B46" s="71">
        <f>FIND(".", B45)</f>
        <v>4</v>
      </c>
      <c r="C46" s="71">
        <f>FIND(".", B45,B46+1)</f>
        <v>6</v>
      </c>
      <c r="D46" s="71">
        <f>FIND(".", B45,C46+1)</f>
        <v>8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</row>
    <row r="47" spans="1:16" x14ac:dyDescent="0.2">
      <c r="A47" s="69" t="s">
        <v>58</v>
      </c>
      <c r="B47" s="71" t="str">
        <f>MID(B45,1,B46-1)</f>
        <v>255</v>
      </c>
      <c r="C47" s="71" t="str">
        <f>MID(B45,B46+1,C46-B46-1)</f>
        <v>0</v>
      </c>
      <c r="D47" s="71" t="str">
        <f>MID(B45,C46+1,D46-C46-1)</f>
        <v>0</v>
      </c>
      <c r="E47" s="71" t="str">
        <f>MID(B45,D46+1,3)</f>
        <v>0</v>
      </c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</row>
    <row r="48" spans="1:16" x14ac:dyDescent="0.2">
      <c r="A48" s="69" t="s">
        <v>59</v>
      </c>
      <c r="B48" s="71">
        <f>_xlfn.BITAND(B43,B47)</f>
        <v>10</v>
      </c>
      <c r="C48" s="71">
        <f>_xlfn.BITAND(C43,C47)</f>
        <v>0</v>
      </c>
      <c r="D48" s="71">
        <f>_xlfn.BITAND(D43,D47)</f>
        <v>0</v>
      </c>
      <c r="E48" s="71">
        <f>_xlfn.BITAND(E43,E47)</f>
        <v>0</v>
      </c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</row>
    <row r="49" spans="1:16" x14ac:dyDescent="0.2">
      <c r="A49" s="69" t="s">
        <v>60</v>
      </c>
      <c r="B49" s="73" t="str">
        <f>B48&amp;"."&amp;C48&amp;"."&amp;D48&amp;"."&amp;E48</f>
        <v>10.0.0.0</v>
      </c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</row>
    <row r="50" spans="1:16" x14ac:dyDescent="0.2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</row>
    <row r="51" spans="1:16" x14ac:dyDescent="0.2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</row>
    <row r="52" spans="1:16" x14ac:dyDescent="0.2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</row>
    <row r="53" spans="1:16" x14ac:dyDescent="0.2">
      <c r="A53" s="70" t="s">
        <v>66</v>
      </c>
      <c r="B53" s="91" t="str">
        <f>Configuration!I28</f>
        <v>WIFI 5 Ghz (IP10)</v>
      </c>
      <c r="C53" s="91"/>
      <c r="D53" s="91"/>
      <c r="E53" s="91"/>
      <c r="G53" s="91" t="str">
        <f>Configuration!I33</f>
        <v>WIFI 2,4 Ghz (IP11)</v>
      </c>
      <c r="H53" s="91"/>
      <c r="I53" s="91"/>
      <c r="J53" s="91"/>
    </row>
    <row r="54" spans="1:16" x14ac:dyDescent="0.2">
      <c r="A54" s="69" t="s">
        <v>4</v>
      </c>
      <c r="B54" s="91" t="str">
        <f>Configuration!L28</f>
        <v>192.168.1.1</v>
      </c>
      <c r="C54" s="91"/>
      <c r="D54" s="91"/>
      <c r="E54" s="91"/>
      <c r="G54" s="91" t="str">
        <f>Configuration!L33</f>
        <v>192.168.2.1</v>
      </c>
      <c r="H54" s="91"/>
      <c r="I54" s="91"/>
      <c r="J54" s="91"/>
      <c r="K54" s="71"/>
      <c r="L54" s="91"/>
      <c r="M54" s="91"/>
      <c r="N54" s="91"/>
      <c r="O54" s="91"/>
      <c r="P54" s="71"/>
    </row>
    <row r="55" spans="1:16" x14ac:dyDescent="0.2">
      <c r="A55" s="69" t="s">
        <v>56</v>
      </c>
      <c r="B55" s="71">
        <f>FIND(".", B54)</f>
        <v>4</v>
      </c>
      <c r="C55" s="71">
        <f>FIND(".", B54,B55+1)</f>
        <v>8</v>
      </c>
      <c r="D55" s="71">
        <f>FIND(".", B54,C55+1)</f>
        <v>10</v>
      </c>
      <c r="G55" s="71">
        <f>FIND(".", G54)</f>
        <v>4</v>
      </c>
      <c r="H55" s="71">
        <f>FIND(".", G54,G55+1)</f>
        <v>8</v>
      </c>
      <c r="I55" s="71">
        <f>FIND(".", G54,H55+1)</f>
        <v>10</v>
      </c>
      <c r="J55" s="68"/>
      <c r="K55" s="71"/>
      <c r="L55" s="71"/>
      <c r="M55" s="71"/>
      <c r="N55" s="71"/>
      <c r="O55" s="71"/>
      <c r="P55" s="71"/>
    </row>
    <row r="56" spans="1:16" x14ac:dyDescent="0.2">
      <c r="A56" s="69" t="s">
        <v>57</v>
      </c>
      <c r="B56" s="71" t="str">
        <f>MID(B54,1,B55-1)</f>
        <v>192</v>
      </c>
      <c r="C56" s="71" t="str">
        <f>MID(B54,B55+1,C55-B55-1)</f>
        <v>168</v>
      </c>
      <c r="D56" s="71" t="str">
        <f>MID(B54,C55+1,D55-C55-1)</f>
        <v>1</v>
      </c>
      <c r="E56" s="71" t="str">
        <f>MID(B54,D55+1,3)</f>
        <v>1</v>
      </c>
      <c r="G56" s="71" t="str">
        <f>MID(G54,1,G55-1)</f>
        <v>192</v>
      </c>
      <c r="H56" s="71" t="str">
        <f>MID(G54,G55+1,H55-G55-1)</f>
        <v>168</v>
      </c>
      <c r="I56" s="71" t="str">
        <f>MID(G54,H55+1,I55-H55-1)</f>
        <v>2</v>
      </c>
      <c r="J56" s="71" t="str">
        <f>MID(G54,I55+1,3)</f>
        <v>1</v>
      </c>
      <c r="K56" s="71"/>
      <c r="L56" s="71"/>
      <c r="M56" s="71"/>
      <c r="N56" s="71"/>
      <c r="O56" s="71"/>
      <c r="P56" s="71"/>
    </row>
    <row r="57" spans="1:16" x14ac:dyDescent="0.2">
      <c r="B57" s="71"/>
      <c r="C57" s="71"/>
      <c r="D57" s="71"/>
      <c r="E57" s="71"/>
      <c r="G57" s="71"/>
      <c r="H57" s="71"/>
      <c r="I57" s="71"/>
      <c r="J57" s="71"/>
      <c r="K57" s="71"/>
      <c r="L57" s="71"/>
      <c r="M57" s="71"/>
      <c r="N57" s="71"/>
      <c r="O57" s="71"/>
      <c r="P57" s="71"/>
    </row>
    <row r="58" spans="1:16" x14ac:dyDescent="0.2">
      <c r="A58" s="69" t="s">
        <v>6</v>
      </c>
      <c r="B58" s="91" t="str">
        <f>Configuration!L29</f>
        <v>255.255.255.0</v>
      </c>
      <c r="C58" s="91"/>
      <c r="D58" s="91"/>
      <c r="E58" s="91"/>
      <c r="F58" s="71" t="str">
        <f>IF(B63&lt;&gt;G63,"√","X")</f>
        <v>√</v>
      </c>
      <c r="G58" s="91" t="str">
        <f>Configuration!L34</f>
        <v>255.255.255.0</v>
      </c>
      <c r="H58" s="91"/>
      <c r="I58" s="91"/>
      <c r="J58" s="91"/>
      <c r="K58" s="71" t="str">
        <f>IF(B63&lt;&gt;G63,"√","X")</f>
        <v>√</v>
      </c>
      <c r="L58" s="71"/>
      <c r="M58" s="71"/>
      <c r="N58" s="71"/>
      <c r="O58" s="71"/>
      <c r="P58" s="71"/>
    </row>
    <row r="59" spans="1:16" x14ac:dyDescent="0.2">
      <c r="A59" s="69" t="s">
        <v>56</v>
      </c>
      <c r="B59" s="71">
        <f>FIND(".", B58)</f>
        <v>4</v>
      </c>
      <c r="C59" s="71">
        <f>FIND(".", B58,B59+1)</f>
        <v>8</v>
      </c>
      <c r="D59" s="71">
        <f>FIND(".", B58,C59+1)</f>
        <v>12</v>
      </c>
      <c r="G59" s="71">
        <f>FIND(".", G58)</f>
        <v>4</v>
      </c>
      <c r="H59" s="71">
        <f>FIND(".", G58,G59+1)</f>
        <v>8</v>
      </c>
      <c r="I59" s="71">
        <f>FIND(".", G58,H59+1)</f>
        <v>12</v>
      </c>
      <c r="J59" s="68"/>
      <c r="K59" s="71"/>
      <c r="L59" s="71"/>
      <c r="M59" s="71"/>
      <c r="N59" s="71"/>
      <c r="O59" s="71"/>
      <c r="P59" s="71"/>
    </row>
    <row r="60" spans="1:16" x14ac:dyDescent="0.2">
      <c r="A60" s="69" t="s">
        <v>58</v>
      </c>
      <c r="B60" s="71" t="str">
        <f>MID(B58,1,B59-1)</f>
        <v>255</v>
      </c>
      <c r="C60" s="71" t="str">
        <f>MID(B58,B59+1,C59-B59-1)</f>
        <v>255</v>
      </c>
      <c r="D60" s="71" t="str">
        <f>MID(B58,C59+1,D59-C59-1)</f>
        <v>255</v>
      </c>
      <c r="E60" s="71" t="str">
        <f>MID(B58,D59+1,3)</f>
        <v>0</v>
      </c>
      <c r="G60" s="71" t="str">
        <f>MID(G58,1,G59-1)</f>
        <v>255</v>
      </c>
      <c r="H60" s="71" t="str">
        <f>MID(G58,G59+1,H59-G59-1)</f>
        <v>255</v>
      </c>
      <c r="I60" s="71" t="str">
        <f>MID(G58,H59+1,I59-H59-1)</f>
        <v>255</v>
      </c>
      <c r="J60" s="71" t="str">
        <f>MID(G58,I59+1,3)</f>
        <v>0</v>
      </c>
      <c r="K60" s="71"/>
      <c r="L60" s="71"/>
      <c r="M60" s="71"/>
      <c r="N60" s="71"/>
      <c r="O60" s="71"/>
      <c r="P60" s="71"/>
    </row>
    <row r="61" spans="1:16" x14ac:dyDescent="0.2">
      <c r="B61" s="71"/>
      <c r="C61" s="71"/>
      <c r="D61" s="71"/>
      <c r="E61" s="71"/>
      <c r="G61" s="71"/>
      <c r="H61" s="71"/>
      <c r="I61" s="71"/>
      <c r="J61" s="71"/>
      <c r="K61" s="71"/>
      <c r="L61" s="71"/>
      <c r="M61" s="71"/>
      <c r="N61" s="71"/>
      <c r="O61" s="71"/>
      <c r="P61" s="71"/>
    </row>
    <row r="62" spans="1:16" x14ac:dyDescent="0.2">
      <c r="A62" s="69" t="s">
        <v>59</v>
      </c>
      <c r="B62" s="71">
        <f>_xlfn.BITAND(B56,B60)</f>
        <v>192</v>
      </c>
      <c r="C62" s="71">
        <f>_xlfn.BITAND(C56,C60)</f>
        <v>168</v>
      </c>
      <c r="D62" s="71">
        <f>_xlfn.BITAND(D56,D60)</f>
        <v>1</v>
      </c>
      <c r="E62" s="71">
        <f>_xlfn.BITAND(E56,E60)</f>
        <v>0</v>
      </c>
      <c r="G62" s="71">
        <f>_xlfn.BITAND(G56,G60)</f>
        <v>192</v>
      </c>
      <c r="H62" s="71">
        <f>_xlfn.BITAND(H56,H60)</f>
        <v>168</v>
      </c>
      <c r="I62" s="71">
        <f>_xlfn.BITAND(I56,I60)</f>
        <v>2</v>
      </c>
      <c r="J62" s="71">
        <f>_xlfn.BITAND(J56,J60)</f>
        <v>0</v>
      </c>
      <c r="K62" s="71"/>
      <c r="L62" s="71"/>
      <c r="M62" s="71"/>
      <c r="N62" s="71"/>
      <c r="O62" s="71"/>
      <c r="P62" s="71"/>
    </row>
    <row r="63" spans="1:16" x14ac:dyDescent="0.2">
      <c r="A63" s="69" t="s">
        <v>60</v>
      </c>
      <c r="B63" s="73" t="str">
        <f>B62&amp;"."&amp;C62&amp;"."&amp;D62&amp;"."&amp;E62</f>
        <v>192.168.1.0</v>
      </c>
      <c r="C63" s="71"/>
      <c r="D63" s="71"/>
      <c r="E63" s="71"/>
      <c r="G63" s="73" t="str">
        <f>G62&amp;"."&amp;H62&amp;"."&amp;I62&amp;"."&amp;J62</f>
        <v>192.168.2.0</v>
      </c>
      <c r="H63" s="71"/>
      <c r="I63" s="71"/>
      <c r="J63" s="71"/>
      <c r="K63" s="71"/>
      <c r="L63" s="71"/>
      <c r="M63" s="71"/>
      <c r="N63" s="71"/>
      <c r="O63" s="71"/>
      <c r="P63" s="71"/>
    </row>
    <row r="64" spans="1:16" x14ac:dyDescent="0.2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</row>
    <row r="65" spans="1:16" x14ac:dyDescent="0.2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</row>
    <row r="66" spans="1:16" x14ac:dyDescent="0.2">
      <c r="A66" s="70" t="s">
        <v>70</v>
      </c>
      <c r="B66" s="91" t="str">
        <f>"SN"&amp;Configuration!F39&amp;"_SIG_10"</f>
        <v>SN05529561_SIG_10</v>
      </c>
      <c r="C66" s="91"/>
      <c r="D66" s="91"/>
      <c r="E66" s="91"/>
      <c r="F66" s="71"/>
      <c r="G66" s="91" t="str">
        <f>"SN"&amp;Configuration!F39&amp;"_SIG_11"</f>
        <v>SN05529561_SIG_11</v>
      </c>
      <c r="H66" s="91"/>
      <c r="I66" s="91"/>
      <c r="J66" s="91"/>
      <c r="K66" s="71"/>
      <c r="L66" s="71"/>
      <c r="M66" s="71"/>
      <c r="N66" s="71"/>
      <c r="O66" s="71"/>
      <c r="P66" s="71"/>
    </row>
    <row r="67" spans="1:16" x14ac:dyDescent="0.2">
      <c r="A67" s="70" t="s">
        <v>71</v>
      </c>
      <c r="B67" s="91" t="str">
        <f>"SN"&amp;Configuration!F40&amp;"_SIG_10"</f>
        <v>SN05380593_SIG_10</v>
      </c>
      <c r="C67" s="91"/>
      <c r="D67" s="91"/>
      <c r="E67" s="91"/>
      <c r="F67" s="71"/>
      <c r="G67" s="91" t="str">
        <f>"SN"&amp;Configuration!F40&amp;"_SIG_11"</f>
        <v>SN05380593_SIG_11</v>
      </c>
      <c r="H67" s="91"/>
      <c r="I67" s="91"/>
      <c r="J67" s="91"/>
      <c r="K67" s="71"/>
      <c r="L67" s="71"/>
      <c r="M67" s="71"/>
      <c r="N67" s="71"/>
      <c r="O67" s="71"/>
      <c r="P67" s="71"/>
    </row>
    <row r="68" spans="1:16" x14ac:dyDescent="0.2"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</row>
    <row r="69" spans="1:16" x14ac:dyDescent="0.2"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</row>
    <row r="70" spans="1:16" x14ac:dyDescent="0.2">
      <c r="A70" s="70" t="s">
        <v>67</v>
      </c>
      <c r="B70" s="91" t="str">
        <f>B53</f>
        <v>WIFI 5 Ghz (IP10)</v>
      </c>
      <c r="C70" s="91"/>
      <c r="D70" s="91"/>
      <c r="E70" s="91"/>
      <c r="G70" s="91" t="str">
        <f>G53</f>
        <v>WIFI 2,4 Ghz (IP11)</v>
      </c>
      <c r="H70" s="91"/>
      <c r="I70" s="91"/>
      <c r="J70" s="91"/>
      <c r="K70" s="71"/>
      <c r="L70" s="71"/>
      <c r="M70" s="71"/>
      <c r="N70" s="71"/>
      <c r="O70" s="71"/>
      <c r="P70" s="71"/>
    </row>
    <row r="71" spans="1:16" x14ac:dyDescent="0.2">
      <c r="A71" s="69" t="s">
        <v>57</v>
      </c>
      <c r="B71" s="71" t="str">
        <f>B56</f>
        <v>192</v>
      </c>
      <c r="C71" s="71" t="str">
        <f>C56</f>
        <v>168</v>
      </c>
      <c r="D71" s="71" t="str">
        <f>D56</f>
        <v>1</v>
      </c>
      <c r="E71" s="71">
        <f>E56+1</f>
        <v>2</v>
      </c>
      <c r="F71" s="71"/>
      <c r="G71" s="71" t="str">
        <f>G56</f>
        <v>192</v>
      </c>
      <c r="H71" s="71" t="str">
        <f>H56</f>
        <v>168</v>
      </c>
      <c r="I71" s="71" t="str">
        <f>I56</f>
        <v>2</v>
      </c>
      <c r="J71" s="71">
        <f>J56+1</f>
        <v>2</v>
      </c>
      <c r="K71" s="71"/>
      <c r="L71" s="71"/>
      <c r="M71" s="71"/>
      <c r="N71" s="71"/>
      <c r="O71" s="71"/>
      <c r="P71" s="71"/>
    </row>
    <row r="72" spans="1:16" x14ac:dyDescent="0.2">
      <c r="A72" s="69" t="s">
        <v>62</v>
      </c>
      <c r="B72" s="91" t="str">
        <f>B71&amp;"."&amp;C71&amp;"."&amp;D71&amp;"."&amp;E71</f>
        <v>192.168.1.2</v>
      </c>
      <c r="C72" s="91"/>
      <c r="D72" s="91"/>
      <c r="E72" s="91"/>
      <c r="G72" s="91" t="str">
        <f>G71&amp;"."&amp;H71&amp;"."&amp;I71&amp;"."&amp;J71</f>
        <v>192.168.2.2</v>
      </c>
      <c r="H72" s="91"/>
      <c r="I72" s="91"/>
      <c r="J72" s="91"/>
      <c r="K72" s="71"/>
      <c r="L72" s="71"/>
      <c r="M72" s="71"/>
      <c r="N72" s="71"/>
      <c r="O72" s="71"/>
      <c r="P72" s="71"/>
    </row>
    <row r="73" spans="1:16" x14ac:dyDescent="0.2">
      <c r="A73" s="69" t="s">
        <v>56</v>
      </c>
      <c r="B73" s="71">
        <f>FIND(".", B72)</f>
        <v>4</v>
      </c>
      <c r="C73" s="71">
        <f>FIND(".", B72,B73+1)</f>
        <v>8</v>
      </c>
      <c r="D73" s="71">
        <f>FIND(".", B72,C73+1)</f>
        <v>10</v>
      </c>
      <c r="E73" s="71"/>
      <c r="F73" s="71"/>
      <c r="G73" s="71">
        <f>FIND(".", G72)</f>
        <v>4</v>
      </c>
      <c r="H73" s="71">
        <f>FIND(".", G72,G73+1)</f>
        <v>8</v>
      </c>
      <c r="I73" s="71">
        <f>FIND(".", G72,H73+1)</f>
        <v>10</v>
      </c>
      <c r="J73" s="71"/>
      <c r="K73" s="71"/>
      <c r="L73" s="71"/>
      <c r="M73" s="71"/>
      <c r="N73" s="71"/>
      <c r="O73" s="71"/>
      <c r="P73" s="71"/>
    </row>
    <row r="74" spans="1:16" x14ac:dyDescent="0.2"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</row>
    <row r="75" spans="1:16" x14ac:dyDescent="0.2">
      <c r="A75" s="69" t="s">
        <v>6</v>
      </c>
      <c r="B75" s="91" t="str">
        <f>B58</f>
        <v>255.255.255.0</v>
      </c>
      <c r="C75" s="91"/>
      <c r="D75" s="91"/>
      <c r="E75" s="91"/>
      <c r="F75" s="71"/>
      <c r="G75" s="91" t="str">
        <f>G58</f>
        <v>255.255.255.0</v>
      </c>
      <c r="H75" s="91"/>
      <c r="I75" s="91"/>
      <c r="J75" s="91"/>
      <c r="K75" s="71"/>
      <c r="L75" s="71"/>
      <c r="M75" s="71"/>
      <c r="N75" s="71"/>
      <c r="O75" s="71"/>
      <c r="P75" s="71"/>
    </row>
    <row r="76" spans="1:16" x14ac:dyDescent="0.2">
      <c r="A76" s="69" t="s">
        <v>56</v>
      </c>
      <c r="B76" s="71">
        <f>FIND(".", B75)</f>
        <v>4</v>
      </c>
      <c r="C76" s="71">
        <f>FIND(".", B75,B76+1)</f>
        <v>8</v>
      </c>
      <c r="D76" s="71">
        <f>FIND(".", B75,C76+1)</f>
        <v>12</v>
      </c>
      <c r="E76" s="71"/>
      <c r="F76" s="75"/>
      <c r="G76" s="71">
        <f>FIND(".", G75)</f>
        <v>4</v>
      </c>
      <c r="H76" s="71">
        <f>FIND(".", G75,G76+1)</f>
        <v>8</v>
      </c>
      <c r="I76" s="71">
        <f>FIND(".", G75,H76+1)</f>
        <v>12</v>
      </c>
      <c r="J76" s="71"/>
      <c r="K76" s="71"/>
      <c r="L76" s="71"/>
      <c r="M76" s="71"/>
      <c r="N76" s="71"/>
      <c r="O76" s="71"/>
      <c r="P76" s="71"/>
    </row>
    <row r="77" spans="1:16" x14ac:dyDescent="0.2">
      <c r="A77" s="69" t="s">
        <v>58</v>
      </c>
      <c r="B77" s="71" t="str">
        <f>MID(B75,1,B76-1)</f>
        <v>255</v>
      </c>
      <c r="C77" s="71" t="str">
        <f>MID(B75,B76+1,C76-B76-1)</f>
        <v>255</v>
      </c>
      <c r="D77" s="71" t="str">
        <f>MID(B75,C76+1,D76-C76-1)</f>
        <v>255</v>
      </c>
      <c r="E77" s="71" t="str">
        <f>MID(B75,D76+1,3)</f>
        <v>0</v>
      </c>
      <c r="F77" s="75"/>
      <c r="G77" s="71" t="str">
        <f>MID(G75,1,G76-1)</f>
        <v>255</v>
      </c>
      <c r="H77" s="71" t="str">
        <f>MID(G75,G76+1,H76-G76-1)</f>
        <v>255</v>
      </c>
      <c r="I77" s="71" t="str">
        <f>MID(G75,H76+1,I76-H76-1)</f>
        <v>255</v>
      </c>
      <c r="J77" s="71" t="str">
        <f>MID(G75,I76+1,3)</f>
        <v>0</v>
      </c>
      <c r="K77" s="71"/>
      <c r="L77" s="71"/>
      <c r="M77" s="71"/>
      <c r="N77" s="71"/>
      <c r="O77" s="71"/>
      <c r="P77" s="71"/>
    </row>
    <row r="78" spans="1:16" x14ac:dyDescent="0.2">
      <c r="A78" s="69" t="s">
        <v>59</v>
      </c>
      <c r="B78" s="71">
        <f>_xlfn.BITAND(B71,B77)</f>
        <v>192</v>
      </c>
      <c r="C78" s="71">
        <f>_xlfn.BITAND(C71,C77)</f>
        <v>168</v>
      </c>
      <c r="D78" s="71">
        <f>_xlfn.BITAND(D71,D77)</f>
        <v>1</v>
      </c>
      <c r="E78" s="71">
        <f>_xlfn.BITAND(E71,E77)</f>
        <v>0</v>
      </c>
      <c r="F78" s="71"/>
      <c r="G78" s="71">
        <f>_xlfn.BITAND(G71,G77)</f>
        <v>192</v>
      </c>
      <c r="H78" s="71">
        <f>_xlfn.BITAND(H71,H77)</f>
        <v>168</v>
      </c>
      <c r="I78" s="71">
        <f>_xlfn.BITAND(I71,I77)</f>
        <v>2</v>
      </c>
      <c r="J78" s="71">
        <f>_xlfn.BITAND(J71,J77)</f>
        <v>0</v>
      </c>
      <c r="K78" s="71"/>
      <c r="L78" s="71"/>
      <c r="M78" s="71"/>
      <c r="N78" s="71"/>
      <c r="O78" s="71"/>
      <c r="P78" s="71"/>
    </row>
    <row r="79" spans="1:16" x14ac:dyDescent="0.2">
      <c r="A79" s="69" t="s">
        <v>60</v>
      </c>
      <c r="B79" s="73" t="str">
        <f>B78&amp;"."&amp;C78&amp;"."&amp;D78&amp;"."&amp;E78</f>
        <v>192.168.1.0</v>
      </c>
      <c r="C79" s="71"/>
      <c r="D79" s="71"/>
      <c r="E79" s="71"/>
      <c r="F79" s="71"/>
      <c r="G79" s="73" t="str">
        <f>G78&amp;"."&amp;H78&amp;"."&amp;I78&amp;"."&amp;J78</f>
        <v>192.168.2.0</v>
      </c>
      <c r="H79" s="71"/>
      <c r="I79" s="71"/>
      <c r="J79" s="71"/>
      <c r="K79" s="71"/>
      <c r="L79" s="71"/>
      <c r="M79" s="71"/>
      <c r="N79" s="71"/>
      <c r="O79" s="71"/>
      <c r="P79" s="71"/>
    </row>
    <row r="80" spans="1:16" x14ac:dyDescent="0.2"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</row>
    <row r="81" spans="1:16" x14ac:dyDescent="0.2"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</row>
    <row r="82" spans="1:16" x14ac:dyDescent="0.2">
      <c r="A82" s="70" t="s">
        <v>68</v>
      </c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</row>
    <row r="83" spans="1:16" x14ac:dyDescent="0.2">
      <c r="A83" s="69" t="s">
        <v>4</v>
      </c>
      <c r="B83" s="91" t="str">
        <f>Configuration!L48</f>
        <v>192.168.1.2</v>
      </c>
      <c r="C83" s="91"/>
      <c r="D83" s="91"/>
      <c r="E83" s="91"/>
      <c r="F83" s="71" t="str">
        <f>IF(B83&lt;&gt;B54,"√","X")</f>
        <v>√</v>
      </c>
      <c r="G83" s="91" t="str">
        <f>Configuration!L53</f>
        <v>192.168.2.2</v>
      </c>
      <c r="H83" s="91"/>
      <c r="I83" s="91"/>
      <c r="J83" s="91"/>
      <c r="K83" s="71" t="str">
        <f>IF(G83&lt;&gt;G54,"√","X")</f>
        <v>√</v>
      </c>
      <c r="L83" s="71"/>
      <c r="M83" s="71"/>
      <c r="N83" s="71"/>
      <c r="O83" s="71"/>
      <c r="P83" s="71"/>
    </row>
    <row r="84" spans="1:16" x14ac:dyDescent="0.2">
      <c r="A84" s="69" t="s">
        <v>56</v>
      </c>
      <c r="B84" s="71">
        <f>FIND(".", B83)</f>
        <v>4</v>
      </c>
      <c r="C84" s="71">
        <f>FIND(".", B83,B84+1)</f>
        <v>8</v>
      </c>
      <c r="D84" s="71">
        <f>FIND(".", B83,C84+1)</f>
        <v>10</v>
      </c>
      <c r="G84" s="71">
        <f>FIND(".", G83)</f>
        <v>4</v>
      </c>
      <c r="H84" s="71">
        <f>FIND(".", G83,G84+1)</f>
        <v>8</v>
      </c>
      <c r="I84" s="71">
        <f>FIND(".", G83,H84+1)</f>
        <v>10</v>
      </c>
      <c r="J84" s="68"/>
      <c r="K84" s="71"/>
      <c r="L84" s="71"/>
      <c r="M84" s="71"/>
      <c r="N84" s="71"/>
      <c r="O84" s="71"/>
      <c r="P84" s="71"/>
    </row>
    <row r="85" spans="1:16" x14ac:dyDescent="0.2">
      <c r="A85" s="69" t="s">
        <v>57</v>
      </c>
      <c r="B85" s="71" t="str">
        <f>MID(B83,1,B84-1)</f>
        <v>192</v>
      </c>
      <c r="C85" s="71" t="str">
        <f>MID(B83,B84+1,C84-B84-1)</f>
        <v>168</v>
      </c>
      <c r="D85" s="71" t="str">
        <f>MID(B83,C84+1,D84-C84-1)</f>
        <v>1</v>
      </c>
      <c r="E85" s="71" t="str">
        <f>MID(B83,D84+1,3)</f>
        <v>2</v>
      </c>
      <c r="G85" s="71" t="str">
        <f>MID(G83,1,G84-1)</f>
        <v>192</v>
      </c>
      <c r="H85" s="71" t="str">
        <f>MID(G83,G84+1,H84-G84-1)</f>
        <v>168</v>
      </c>
      <c r="I85" s="71" t="str">
        <f>MID(G83,H84+1,I84-H84-1)</f>
        <v>2</v>
      </c>
      <c r="J85" s="71" t="str">
        <f>MID(G83,I84+1,3)</f>
        <v>2</v>
      </c>
      <c r="K85" s="71"/>
      <c r="L85" s="71"/>
      <c r="M85" s="71"/>
      <c r="N85" s="71"/>
      <c r="O85" s="71"/>
      <c r="P85" s="71"/>
    </row>
    <row r="86" spans="1:16" x14ac:dyDescent="0.2">
      <c r="B86" s="71"/>
      <c r="C86" s="71"/>
      <c r="D86" s="71"/>
      <c r="E86" s="71"/>
      <c r="G86" s="71"/>
      <c r="H86" s="71"/>
      <c r="I86" s="71"/>
      <c r="J86" s="71"/>
      <c r="K86" s="71"/>
      <c r="L86" s="71"/>
      <c r="M86" s="71"/>
      <c r="N86" s="71"/>
      <c r="O86" s="71"/>
      <c r="P86" s="71"/>
    </row>
    <row r="87" spans="1:16" x14ac:dyDescent="0.2">
      <c r="A87" s="69" t="s">
        <v>6</v>
      </c>
      <c r="B87" s="91" t="str">
        <f>Configuration!L49</f>
        <v>255.255.255.0</v>
      </c>
      <c r="C87" s="91"/>
      <c r="D87" s="91"/>
      <c r="E87" s="91"/>
      <c r="F87" s="71" t="str">
        <f>IF(B92&lt;&gt;G92,"√","X")</f>
        <v>√</v>
      </c>
      <c r="G87" s="91" t="str">
        <f>Configuration!L54</f>
        <v>255.255.255.0</v>
      </c>
      <c r="H87" s="91"/>
      <c r="I87" s="91"/>
      <c r="J87" s="91"/>
      <c r="K87" s="71"/>
      <c r="L87" s="71"/>
      <c r="M87" s="71"/>
      <c r="N87" s="71"/>
      <c r="O87" s="71"/>
      <c r="P87" s="71"/>
    </row>
    <row r="88" spans="1:16" x14ac:dyDescent="0.2">
      <c r="A88" s="69" t="s">
        <v>56</v>
      </c>
      <c r="B88" s="71">
        <f>FIND(".", B87)</f>
        <v>4</v>
      </c>
      <c r="C88" s="71">
        <f>FIND(".", B87,B88+1)</f>
        <v>8</v>
      </c>
      <c r="D88" s="71">
        <f>FIND(".", B87,C88+1)</f>
        <v>12</v>
      </c>
      <c r="G88" s="71">
        <f>FIND(".", G87)</f>
        <v>4</v>
      </c>
      <c r="H88" s="71">
        <f>FIND(".", G87,G88+1)</f>
        <v>8</v>
      </c>
      <c r="I88" s="71">
        <f>FIND(".", G87,H88+1)</f>
        <v>12</v>
      </c>
      <c r="J88" s="68"/>
      <c r="K88" s="71"/>
      <c r="L88" s="71"/>
      <c r="M88" s="71"/>
      <c r="N88" s="71"/>
      <c r="O88" s="71"/>
      <c r="P88" s="71"/>
    </row>
    <row r="89" spans="1:16" x14ac:dyDescent="0.2">
      <c r="A89" s="69" t="s">
        <v>58</v>
      </c>
      <c r="B89" s="71" t="str">
        <f>MID(B87,1,B88-1)</f>
        <v>255</v>
      </c>
      <c r="C89" s="71" t="str">
        <f>MID(B87,B88+1,C88-B88-1)</f>
        <v>255</v>
      </c>
      <c r="D89" s="71" t="str">
        <f>MID(B87,C88+1,D88-C88-1)</f>
        <v>255</v>
      </c>
      <c r="E89" s="71" t="str">
        <f>MID(B87,D88+1,3)</f>
        <v>0</v>
      </c>
      <c r="G89" s="71" t="str">
        <f>MID(G87,1,G88-1)</f>
        <v>255</v>
      </c>
      <c r="H89" s="71" t="str">
        <f>MID(G87,G88+1,H88-G88-1)</f>
        <v>255</v>
      </c>
      <c r="I89" s="71" t="str">
        <f>MID(G87,H88+1,I88-H88-1)</f>
        <v>255</v>
      </c>
      <c r="J89" s="71" t="str">
        <f>MID(G87,I88+1,3)</f>
        <v>0</v>
      </c>
      <c r="K89" s="71"/>
      <c r="L89" s="71"/>
      <c r="M89" s="71"/>
      <c r="N89" s="71"/>
      <c r="O89" s="71"/>
      <c r="P89" s="71"/>
    </row>
    <row r="90" spans="1:16" x14ac:dyDescent="0.2">
      <c r="B90" s="71"/>
      <c r="C90" s="71"/>
      <c r="D90" s="71"/>
      <c r="E90" s="71"/>
      <c r="G90" s="71"/>
      <c r="H90" s="71"/>
      <c r="I90" s="71"/>
      <c r="J90" s="71"/>
      <c r="K90" s="71"/>
      <c r="L90" s="71"/>
      <c r="M90" s="71"/>
      <c r="N90" s="71"/>
      <c r="O90" s="71"/>
      <c r="P90" s="71"/>
    </row>
    <row r="91" spans="1:16" x14ac:dyDescent="0.2">
      <c r="A91" s="69" t="s">
        <v>59</v>
      </c>
      <c r="B91" s="71">
        <f>_xlfn.BITAND(B85,B89)</f>
        <v>192</v>
      </c>
      <c r="C91" s="71">
        <f>_xlfn.BITAND(C85,C89)</f>
        <v>168</v>
      </c>
      <c r="D91" s="71">
        <f>_xlfn.BITAND(D85,D89)</f>
        <v>1</v>
      </c>
      <c r="E91" s="71">
        <f>_xlfn.BITAND(E85,E89)</f>
        <v>0</v>
      </c>
      <c r="G91" s="71">
        <f>_xlfn.BITAND(G85,G89)</f>
        <v>192</v>
      </c>
      <c r="H91" s="71">
        <f>_xlfn.BITAND(H85,H89)</f>
        <v>168</v>
      </c>
      <c r="I91" s="71">
        <f>_xlfn.BITAND(I85,I89)</f>
        <v>2</v>
      </c>
      <c r="J91" s="71">
        <f>_xlfn.BITAND(J85,J89)</f>
        <v>0</v>
      </c>
      <c r="K91" s="71"/>
      <c r="L91" s="71"/>
      <c r="M91" s="71"/>
      <c r="N91" s="71"/>
      <c r="O91" s="71"/>
      <c r="P91" s="71"/>
    </row>
    <row r="92" spans="1:16" x14ac:dyDescent="0.2">
      <c r="A92" s="69" t="s">
        <v>60</v>
      </c>
      <c r="B92" s="73" t="str">
        <f>B91&amp;"."&amp;C91&amp;"."&amp;D91&amp;"."&amp;E91</f>
        <v>192.168.1.0</v>
      </c>
      <c r="C92" s="71"/>
      <c r="D92" s="71"/>
      <c r="E92" s="71"/>
      <c r="F92" s="71" t="str">
        <f>IF(B92=B63,"√","X")</f>
        <v>√</v>
      </c>
      <c r="G92" s="73" t="str">
        <f>G91&amp;"."&amp;H91&amp;"."&amp;I91&amp;"."&amp;J91</f>
        <v>192.168.2.0</v>
      </c>
      <c r="H92" s="71"/>
      <c r="I92" s="71"/>
      <c r="J92" s="71"/>
      <c r="K92" s="71" t="str">
        <f>IF(G92=G63,"√","X")</f>
        <v>√</v>
      </c>
      <c r="L92" s="71"/>
      <c r="M92" s="71"/>
      <c r="N92" s="71"/>
      <c r="O92" s="71"/>
      <c r="P92" s="71"/>
    </row>
    <row r="93" spans="1:16" x14ac:dyDescent="0.2"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</row>
    <row r="94" spans="1:16" x14ac:dyDescent="0.2">
      <c r="A94" s="68"/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</row>
    <row r="95" spans="1:16" x14ac:dyDescent="0.2"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</row>
    <row r="96" spans="1:16" x14ac:dyDescent="0.2">
      <c r="A96" s="70" t="s">
        <v>69</v>
      </c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</row>
    <row r="97" spans="1:16" x14ac:dyDescent="0.2">
      <c r="A97" s="69" t="s">
        <v>57</v>
      </c>
      <c r="B97" s="71" t="str">
        <f>B85</f>
        <v>192</v>
      </c>
      <c r="C97" s="71" t="str">
        <f>C85</f>
        <v>168</v>
      </c>
      <c r="D97" s="71" t="str">
        <f>D85</f>
        <v>1</v>
      </c>
      <c r="E97" s="71">
        <f>E85+10</f>
        <v>12</v>
      </c>
      <c r="F97" s="71"/>
      <c r="G97" s="71" t="str">
        <f>G85</f>
        <v>192</v>
      </c>
      <c r="H97" s="71" t="str">
        <f>H85</f>
        <v>168</v>
      </c>
      <c r="I97" s="71" t="str">
        <f>I85</f>
        <v>2</v>
      </c>
      <c r="J97" s="71">
        <f>J85+10</f>
        <v>12</v>
      </c>
      <c r="K97" s="71"/>
      <c r="L97" s="71"/>
      <c r="M97" s="71"/>
      <c r="N97" s="71"/>
      <c r="O97" s="71"/>
      <c r="P97" s="71"/>
    </row>
    <row r="98" spans="1:16" x14ac:dyDescent="0.2">
      <c r="A98" s="69" t="s">
        <v>62</v>
      </c>
      <c r="B98" s="91" t="str">
        <f>B97&amp;"."&amp;C97&amp;"."&amp;D97&amp;"."&amp;E97</f>
        <v>192.168.1.12</v>
      </c>
      <c r="C98" s="91"/>
      <c r="D98" s="91"/>
      <c r="E98" s="91"/>
      <c r="G98" s="91" t="str">
        <f>G97&amp;"."&amp;H97&amp;"."&amp;I97&amp;"."&amp;J97</f>
        <v>192.168.2.12</v>
      </c>
      <c r="H98" s="91"/>
      <c r="I98" s="91"/>
      <c r="J98" s="91"/>
      <c r="K98" s="71"/>
      <c r="L98" s="71"/>
      <c r="M98" s="71"/>
      <c r="N98" s="71"/>
      <c r="O98" s="71"/>
      <c r="P98" s="71"/>
    </row>
    <row r="99" spans="1:16" x14ac:dyDescent="0.2">
      <c r="A99" s="69" t="s">
        <v>56</v>
      </c>
      <c r="B99" s="71">
        <f>FIND(".", B98)</f>
        <v>4</v>
      </c>
      <c r="C99" s="71">
        <f>FIND(".", B98,B99+1)</f>
        <v>8</v>
      </c>
      <c r="D99" s="71">
        <f>FIND(".", B98,C99+1)</f>
        <v>10</v>
      </c>
      <c r="E99" s="71"/>
      <c r="G99" s="71">
        <f>FIND(".", G98)</f>
        <v>4</v>
      </c>
      <c r="H99" s="71">
        <f>FIND(".", G98,G99+1)</f>
        <v>8</v>
      </c>
      <c r="I99" s="71">
        <f>FIND(".", G98,H99+1)</f>
        <v>10</v>
      </c>
      <c r="J99" s="71"/>
      <c r="K99" s="71"/>
      <c r="L99" s="71"/>
      <c r="M99" s="71"/>
      <c r="N99" s="71"/>
      <c r="O99" s="71"/>
      <c r="P99" s="71"/>
    </row>
    <row r="100" spans="1:16" x14ac:dyDescent="0.2">
      <c r="B100" s="71"/>
      <c r="C100" s="71"/>
      <c r="D100" s="71"/>
      <c r="E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</row>
    <row r="101" spans="1:16" x14ac:dyDescent="0.2">
      <c r="A101" s="69" t="s">
        <v>6</v>
      </c>
      <c r="B101" s="91" t="str">
        <f>B87</f>
        <v>255.255.255.0</v>
      </c>
      <c r="C101" s="91"/>
      <c r="D101" s="91"/>
      <c r="E101" s="91"/>
      <c r="F101" s="71"/>
      <c r="G101" s="91" t="str">
        <f>G87</f>
        <v>255.255.255.0</v>
      </c>
      <c r="H101" s="91"/>
      <c r="I101" s="91"/>
      <c r="J101" s="91"/>
      <c r="K101" s="71"/>
      <c r="L101" s="71"/>
      <c r="M101" s="71"/>
      <c r="N101" s="71"/>
      <c r="O101" s="71"/>
      <c r="P101" s="71"/>
    </row>
    <row r="102" spans="1:16" x14ac:dyDescent="0.2">
      <c r="A102" s="69" t="s">
        <v>56</v>
      </c>
      <c r="B102" s="71">
        <f>FIND(".", B101)</f>
        <v>4</v>
      </c>
      <c r="C102" s="71">
        <f>FIND(".", B101,B102+1)</f>
        <v>8</v>
      </c>
      <c r="D102" s="71">
        <f>FIND(".", B101,C102+1)</f>
        <v>12</v>
      </c>
      <c r="E102" s="71"/>
      <c r="G102" s="71">
        <f>FIND(".", G101)</f>
        <v>4</v>
      </c>
      <c r="H102" s="71">
        <f>FIND(".", G101,G102+1)</f>
        <v>8</v>
      </c>
      <c r="I102" s="71">
        <f>FIND(".", G101,H102+1)</f>
        <v>12</v>
      </c>
      <c r="J102" s="71"/>
      <c r="K102" s="71"/>
      <c r="L102" s="71"/>
      <c r="M102" s="71"/>
      <c r="N102" s="71"/>
      <c r="O102" s="71"/>
      <c r="P102" s="71"/>
    </row>
    <row r="103" spans="1:16" x14ac:dyDescent="0.2">
      <c r="A103" s="69" t="s">
        <v>58</v>
      </c>
      <c r="B103" s="71" t="str">
        <f>MID(B101,1,B102-1)</f>
        <v>255</v>
      </c>
      <c r="C103" s="71" t="str">
        <f>MID(B101,B102+1,C102-B102-1)</f>
        <v>255</v>
      </c>
      <c r="D103" s="71" t="str">
        <f>MID(B101,C102+1,D102-C102-1)</f>
        <v>255</v>
      </c>
      <c r="E103" s="71" t="str">
        <f>MID(B101,D102+1,3)</f>
        <v>0</v>
      </c>
      <c r="G103" s="71" t="str">
        <f>MID(G101,1,G102-1)</f>
        <v>255</v>
      </c>
      <c r="H103" s="71" t="str">
        <f>MID(G101,G102+1,H102-G102-1)</f>
        <v>255</v>
      </c>
      <c r="I103" s="71" t="str">
        <f>MID(G101,H102+1,I102-H102-1)</f>
        <v>255</v>
      </c>
      <c r="J103" s="71" t="str">
        <f>MID(G101,I102+1,3)</f>
        <v>0</v>
      </c>
    </row>
    <row r="104" spans="1:16" x14ac:dyDescent="0.2">
      <c r="A104" s="69" t="s">
        <v>59</v>
      </c>
      <c r="B104" s="71">
        <f>_xlfn.BITAND(B97,B103)</f>
        <v>192</v>
      </c>
      <c r="C104" s="71">
        <f>_xlfn.BITAND(C97,C103)</f>
        <v>168</v>
      </c>
      <c r="D104" s="71">
        <f>_xlfn.BITAND(D97,D103)</f>
        <v>1</v>
      </c>
      <c r="E104" s="71">
        <f>_xlfn.BITAND(E97,E103)</f>
        <v>0</v>
      </c>
      <c r="G104" s="71">
        <f>_xlfn.BITAND(G97,G103)</f>
        <v>192</v>
      </c>
      <c r="H104" s="71">
        <f>_xlfn.BITAND(H97,H103)</f>
        <v>168</v>
      </c>
      <c r="I104" s="71">
        <f>_xlfn.BITAND(I97,I103)</f>
        <v>2</v>
      </c>
      <c r="J104" s="71">
        <f>_xlfn.BITAND(J97,J103)</f>
        <v>0</v>
      </c>
    </row>
    <row r="105" spans="1:16" x14ac:dyDescent="0.2">
      <c r="A105" s="69" t="s">
        <v>60</v>
      </c>
      <c r="B105" s="73" t="str">
        <f>B104&amp;"."&amp;C104&amp;"."&amp;D104&amp;"."&amp;E104</f>
        <v>192.168.1.0</v>
      </c>
      <c r="C105" s="71"/>
      <c r="D105" s="71"/>
      <c r="E105" s="71"/>
      <c r="G105" s="73" t="str">
        <f>G104&amp;"."&amp;H104&amp;"."&amp;I104&amp;"."&amp;J104</f>
        <v>192.168.2.0</v>
      </c>
      <c r="H105" s="71"/>
      <c r="I105" s="71"/>
      <c r="J105" s="71"/>
    </row>
    <row r="106" spans="1:16" x14ac:dyDescent="0.2">
      <c r="B106" s="73"/>
      <c r="C106" s="71"/>
      <c r="D106" s="71"/>
      <c r="E106" s="71"/>
      <c r="F106" s="71"/>
    </row>
    <row r="109" spans="1:16" x14ac:dyDescent="0.2">
      <c r="A109" s="70" t="s">
        <v>109</v>
      </c>
      <c r="B109" s="71"/>
      <c r="C109" s="71"/>
      <c r="D109" s="71"/>
      <c r="E109" s="71"/>
      <c r="F109" s="71"/>
      <c r="G109" s="71"/>
      <c r="H109" s="71"/>
      <c r="I109" s="71"/>
      <c r="J109" s="71"/>
      <c r="K109" s="71"/>
    </row>
    <row r="110" spans="1:16" x14ac:dyDescent="0.2">
      <c r="A110" s="69" t="s">
        <v>4</v>
      </c>
      <c r="B110" s="93" t="str">
        <f>Configuration!L28</f>
        <v>192.168.1.1</v>
      </c>
      <c r="C110" s="91"/>
      <c r="D110" s="91"/>
      <c r="E110" s="91"/>
      <c r="F110" s="71" t="str">
        <f>IF(B110&lt;&gt;B81,"√","X")</f>
        <v>√</v>
      </c>
      <c r="G110" s="91" t="str">
        <f>Configuration!L33</f>
        <v>192.168.2.1</v>
      </c>
      <c r="H110" s="91"/>
      <c r="I110" s="91"/>
      <c r="J110" s="91"/>
      <c r="K110" s="71" t="str">
        <f>IF(G110&lt;&gt;G81,"√","X")</f>
        <v>√</v>
      </c>
    </row>
    <row r="111" spans="1:16" x14ac:dyDescent="0.2">
      <c r="A111" s="69" t="s">
        <v>56</v>
      </c>
      <c r="B111" s="71">
        <f>FIND(".", B110)</f>
        <v>4</v>
      </c>
      <c r="C111" s="71">
        <f>FIND(".", B110,B111+1)</f>
        <v>8</v>
      </c>
      <c r="D111" s="71">
        <f>FIND(".", B110,C111+1)</f>
        <v>10</v>
      </c>
      <c r="G111" s="71">
        <f>FIND(".", G110)</f>
        <v>4</v>
      </c>
      <c r="H111" s="71">
        <f>FIND(".", G110,G111+1)</f>
        <v>8</v>
      </c>
      <c r="I111" s="71">
        <f>FIND(".", G110,H111+1)</f>
        <v>10</v>
      </c>
      <c r="J111" s="68"/>
      <c r="K111" s="71"/>
    </row>
    <row r="112" spans="1:16" x14ac:dyDescent="0.2">
      <c r="A112" s="69" t="s">
        <v>57</v>
      </c>
      <c r="B112" s="71" t="str">
        <f>MID(B110,1,B111-1)</f>
        <v>192</v>
      </c>
      <c r="C112" s="71" t="str">
        <f>MID(B110,B111+1,C111-B111-1)</f>
        <v>168</v>
      </c>
      <c r="D112" s="71" t="str">
        <f>MID(B110,C111+1,D111-C111-1)</f>
        <v>1</v>
      </c>
      <c r="E112" s="71" t="str">
        <f>MID(B110,D111+1,3)</f>
        <v>1</v>
      </c>
      <c r="G112" s="71" t="str">
        <f>MID(G110,1,G111-1)</f>
        <v>192</v>
      </c>
      <c r="H112" s="71" t="str">
        <f>MID(G110,G111+1,H111-G111-1)</f>
        <v>168</v>
      </c>
      <c r="I112" s="71" t="str">
        <f>MID(G110,H111+1,I111-H111-1)</f>
        <v>2</v>
      </c>
      <c r="J112" s="71" t="str">
        <f>MID(G110,I111+1,3)</f>
        <v>1</v>
      </c>
      <c r="K112" s="71"/>
    </row>
    <row r="113" spans="1:11" x14ac:dyDescent="0.2">
      <c r="B113" s="71"/>
      <c r="C113" s="71"/>
      <c r="D113" s="71"/>
      <c r="E113" s="71"/>
      <c r="G113" s="71"/>
      <c r="H113" s="71"/>
      <c r="I113" s="71"/>
      <c r="J113" s="71"/>
      <c r="K113" s="71"/>
    </row>
    <row r="114" spans="1:11" x14ac:dyDescent="0.2">
      <c r="A114" s="69" t="s">
        <v>6</v>
      </c>
      <c r="B114" s="93" t="str">
        <f>Configuration!L29</f>
        <v>255.255.255.0</v>
      </c>
      <c r="C114" s="91"/>
      <c r="D114" s="91"/>
      <c r="E114" s="91"/>
      <c r="F114" s="71" t="str">
        <f>IF(B119&lt;&gt;G119,"√","X")</f>
        <v>√</v>
      </c>
      <c r="G114" s="93" t="str">
        <f>Configuration!L34</f>
        <v>255.255.255.0</v>
      </c>
      <c r="H114" s="91"/>
      <c r="I114" s="91"/>
      <c r="J114" s="91"/>
      <c r="K114" s="71"/>
    </row>
    <row r="115" spans="1:11" x14ac:dyDescent="0.2">
      <c r="A115" s="69" t="s">
        <v>56</v>
      </c>
      <c r="B115" s="71">
        <f>FIND(".", B114)</f>
        <v>4</v>
      </c>
      <c r="C115" s="71">
        <f>FIND(".", B114,B115+1)</f>
        <v>8</v>
      </c>
      <c r="D115" s="71">
        <f>FIND(".", B114,C115+1)</f>
        <v>12</v>
      </c>
      <c r="G115" s="71">
        <f>FIND(".", G114)</f>
        <v>4</v>
      </c>
      <c r="H115" s="71">
        <f>FIND(".", G114,G115+1)</f>
        <v>8</v>
      </c>
      <c r="I115" s="71">
        <f>FIND(".", G114,H115+1)</f>
        <v>12</v>
      </c>
      <c r="J115" s="68"/>
      <c r="K115" s="71"/>
    </row>
    <row r="116" spans="1:11" x14ac:dyDescent="0.2">
      <c r="A116" s="69" t="s">
        <v>58</v>
      </c>
      <c r="B116" s="71" t="str">
        <f>MID(B114,1,B115-1)</f>
        <v>255</v>
      </c>
      <c r="C116" s="71" t="str">
        <f>MID(B114,B115+1,C115-B115-1)</f>
        <v>255</v>
      </c>
      <c r="D116" s="71" t="str">
        <f>MID(B114,C115+1,D115-C115-1)</f>
        <v>255</v>
      </c>
      <c r="E116" s="71" t="str">
        <f>MID(B114,D115+1,3)</f>
        <v>0</v>
      </c>
      <c r="G116" s="71" t="str">
        <f>MID(G114,1,G115-1)</f>
        <v>255</v>
      </c>
      <c r="H116" s="71" t="str">
        <f>MID(G114,G115+1,H115-G115-1)</f>
        <v>255</v>
      </c>
      <c r="I116" s="71" t="str">
        <f>MID(G114,H115+1,I115-H115-1)</f>
        <v>255</v>
      </c>
      <c r="J116" s="71" t="str">
        <f>MID(G114,I115+1,3)</f>
        <v>0</v>
      </c>
      <c r="K116" s="71"/>
    </row>
    <row r="117" spans="1:11" x14ac:dyDescent="0.2">
      <c r="B117" s="71"/>
      <c r="C117" s="71"/>
      <c r="D117" s="71"/>
      <c r="E117" s="71"/>
      <c r="G117" s="71"/>
      <c r="H117" s="71"/>
      <c r="I117" s="71"/>
      <c r="J117" s="71"/>
      <c r="K117" s="71"/>
    </row>
    <row r="118" spans="1:11" x14ac:dyDescent="0.2">
      <c r="A118" s="69" t="s">
        <v>59</v>
      </c>
      <c r="B118" s="71">
        <f>_xlfn.BITAND(B112,B116)</f>
        <v>192</v>
      </c>
      <c r="C118" s="71">
        <f>_xlfn.BITAND(C112,C116)</f>
        <v>168</v>
      </c>
      <c r="D118" s="71">
        <f>_xlfn.BITAND(D112,D116)</f>
        <v>1</v>
      </c>
      <c r="E118" s="71">
        <f>_xlfn.BITAND(E112,E116)</f>
        <v>0</v>
      </c>
      <c r="G118" s="71">
        <f>_xlfn.BITAND(G112,G116)</f>
        <v>192</v>
      </c>
      <c r="H118" s="71">
        <f>_xlfn.BITAND(H112,H116)</f>
        <v>168</v>
      </c>
      <c r="I118" s="71">
        <f>_xlfn.BITAND(I112,I116)</f>
        <v>2</v>
      </c>
      <c r="J118" s="71">
        <f>_xlfn.BITAND(J112,J116)</f>
        <v>0</v>
      </c>
      <c r="K118" s="71"/>
    </row>
    <row r="119" spans="1:11" x14ac:dyDescent="0.2">
      <c r="A119" s="69" t="s">
        <v>60</v>
      </c>
      <c r="B119" s="73" t="str">
        <f>B118&amp;"."&amp;C118&amp;"."&amp;D118&amp;"."&amp;E118</f>
        <v>192.168.1.0</v>
      </c>
      <c r="C119" s="71"/>
      <c r="D119" s="71"/>
      <c r="E119" s="71"/>
      <c r="F119" s="71" t="str">
        <f>IF(B119=B92,"√","X")</f>
        <v>√</v>
      </c>
      <c r="G119" s="73" t="str">
        <f>G118&amp;"."&amp;H118&amp;"."&amp;I118&amp;"."&amp;J118</f>
        <v>192.168.2.0</v>
      </c>
      <c r="H119" s="71"/>
      <c r="I119" s="71"/>
      <c r="J119" s="71"/>
      <c r="K119" s="71" t="str">
        <f>IF(G119=G92,"√","X")</f>
        <v>√</v>
      </c>
    </row>
    <row r="120" spans="1:11" x14ac:dyDescent="0.2">
      <c r="B120" s="71"/>
      <c r="C120" s="71"/>
      <c r="D120" s="71"/>
      <c r="E120" s="71"/>
      <c r="F120" s="71"/>
      <c r="G120" s="71"/>
      <c r="H120" s="71"/>
      <c r="I120" s="71"/>
      <c r="J120" s="71"/>
      <c r="K120" s="71"/>
    </row>
    <row r="124" spans="1:11" x14ac:dyDescent="0.2">
      <c r="A124" s="67" t="s">
        <v>120</v>
      </c>
      <c r="E124" s="77" t="s">
        <v>644</v>
      </c>
      <c r="F124" s="77" t="s">
        <v>652</v>
      </c>
      <c r="G124" s="67" t="s">
        <v>653</v>
      </c>
      <c r="H124" s="67" t="s">
        <v>657</v>
      </c>
    </row>
    <row r="125" spans="1:11" x14ac:dyDescent="0.2">
      <c r="A125" s="69" t="s">
        <v>121</v>
      </c>
      <c r="B125" s="68">
        <v>2412</v>
      </c>
      <c r="E125" s="68" t="s">
        <v>646</v>
      </c>
      <c r="F125" s="68" t="s">
        <v>646</v>
      </c>
      <c r="G125" s="69" t="s">
        <v>654</v>
      </c>
      <c r="H125" s="69" t="s">
        <v>654</v>
      </c>
      <c r="K125" s="69" t="str">
        <f>IF(Configuration!O30=Configuration!O35,"√","X")</f>
        <v>√</v>
      </c>
    </row>
    <row r="126" spans="1:11" x14ac:dyDescent="0.2">
      <c r="A126" s="69" t="s">
        <v>126</v>
      </c>
      <c r="B126" s="68">
        <v>5</v>
      </c>
      <c r="E126" s="68" t="s">
        <v>647</v>
      </c>
      <c r="F126" s="68" t="s">
        <v>651</v>
      </c>
      <c r="G126" s="69" t="s">
        <v>655</v>
      </c>
      <c r="H126" s="69" t="s">
        <v>654</v>
      </c>
      <c r="K126" s="69" t="str">
        <f>IF(Configuration!O50=Configuration!O55,"√","X")</f>
        <v>√</v>
      </c>
    </row>
    <row r="127" spans="1:11" x14ac:dyDescent="0.2">
      <c r="A127" s="69" t="s">
        <v>122</v>
      </c>
      <c r="B127" s="78" t="str">
        <f>Configuration!Q33</f>
        <v>6 (BW 20)</v>
      </c>
      <c r="C127" s="79"/>
      <c r="D127" s="79"/>
      <c r="E127" s="68" t="s">
        <v>648</v>
      </c>
      <c r="F127" s="68" t="s">
        <v>651</v>
      </c>
      <c r="G127" s="69" t="s">
        <v>656</v>
      </c>
      <c r="H127" s="69" t="s">
        <v>654</v>
      </c>
    </row>
    <row r="128" spans="1:11" x14ac:dyDescent="0.2">
      <c r="B128" s="78"/>
      <c r="E128" s="68" t="s">
        <v>649</v>
      </c>
      <c r="F128" s="68" t="s">
        <v>651</v>
      </c>
      <c r="G128" s="69" t="s">
        <v>655</v>
      </c>
      <c r="H128" s="69" t="s">
        <v>658</v>
      </c>
      <c r="I128" s="67" t="s">
        <v>664</v>
      </c>
    </row>
    <row r="129" spans="1:9" x14ac:dyDescent="0.2">
      <c r="E129" s="77" t="s">
        <v>650</v>
      </c>
      <c r="F129" s="68" t="s">
        <v>651</v>
      </c>
      <c r="G129" s="69" t="s">
        <v>656</v>
      </c>
      <c r="H129" s="69" t="s">
        <v>658</v>
      </c>
      <c r="I129" s="67" t="s">
        <v>664</v>
      </c>
    </row>
    <row r="130" spans="1:9" x14ac:dyDescent="0.2">
      <c r="A130" s="69" t="s">
        <v>124</v>
      </c>
      <c r="B130" s="68">
        <v>5180</v>
      </c>
      <c r="F130" s="68"/>
    </row>
    <row r="131" spans="1:9" x14ac:dyDescent="0.2">
      <c r="A131" s="69" t="s">
        <v>125</v>
      </c>
      <c r="B131" s="68">
        <v>5</v>
      </c>
      <c r="E131" s="77" t="s">
        <v>659</v>
      </c>
      <c r="F131" s="68"/>
    </row>
    <row r="132" spans="1:9" x14ac:dyDescent="0.2">
      <c r="A132" s="69" t="s">
        <v>123</v>
      </c>
      <c r="B132" s="78" t="str">
        <f>Configuration!Q28</f>
        <v>42 (BW 80)</v>
      </c>
      <c r="D132" s="77" t="s">
        <v>660</v>
      </c>
      <c r="E132" s="79" t="str">
        <f>Configuration!O30</f>
        <v>WPA2-AES</v>
      </c>
      <c r="F132" s="68" t="str">
        <f>VLOOKUP(E132,E125:H129,2,FALSE)</f>
        <v>WPA-PSK</v>
      </c>
      <c r="G132" s="69" t="str">
        <f>VLOOKUP(E132,E125:H129,3,FALSE)</f>
        <v>CCMP</v>
      </c>
      <c r="H132" s="69" t="str">
        <f>VLOOKUP(E132,E125:H129,4,FALSE)</f>
        <v>WPA2</v>
      </c>
    </row>
    <row r="133" spans="1:9" x14ac:dyDescent="0.2">
      <c r="B133" s="78"/>
      <c r="D133" s="77" t="s">
        <v>661</v>
      </c>
      <c r="E133" s="79" t="str">
        <f>Configuration!O35</f>
        <v>WPA2-AES</v>
      </c>
      <c r="F133" s="68" t="str">
        <f>VLOOKUP(E133,E125:H129,2,FALSE)</f>
        <v>WPA-PSK</v>
      </c>
      <c r="G133" s="69" t="str">
        <f>VLOOKUP(E133,E125:H129,3,FALSE)</f>
        <v>CCMP</v>
      </c>
      <c r="H133" s="69" t="str">
        <f>VLOOKUP(E133,E125:H129,4,FALSE)</f>
        <v>WPA2</v>
      </c>
    </row>
    <row r="134" spans="1:9" x14ac:dyDescent="0.2">
      <c r="D134" s="77" t="s">
        <v>662</v>
      </c>
      <c r="E134" s="79" t="str">
        <f>Configuration!O50</f>
        <v>WPA2-AES</v>
      </c>
      <c r="F134" s="68" t="str">
        <f>VLOOKUP(E134,E125:H129,2,FALSE)</f>
        <v>WPA-PSK</v>
      </c>
      <c r="G134" s="69" t="str">
        <f>VLOOKUP(E134,E125:H129,3,FALSE)</f>
        <v>CCMP</v>
      </c>
      <c r="H134" s="69" t="str">
        <f>VLOOKUP(E134,E125:H129,4,FALSE)</f>
        <v>WPA2</v>
      </c>
    </row>
    <row r="135" spans="1:9" x14ac:dyDescent="0.2">
      <c r="D135" s="77" t="s">
        <v>663</v>
      </c>
      <c r="E135" s="79" t="str">
        <f>Configuration!O55</f>
        <v>WPA2-AES</v>
      </c>
      <c r="F135" s="68" t="str">
        <f>VLOOKUP(E135,E125:H129,2,FALSE)</f>
        <v>WPA-PSK</v>
      </c>
      <c r="G135" s="69" t="str">
        <f>VLOOKUP(E135,E125:H129,3,FALSE)</f>
        <v>CCMP</v>
      </c>
      <c r="H135" s="69" t="str">
        <f>VLOOKUP(E135,E125:H129,4,FALSE)</f>
        <v>WPA2</v>
      </c>
    </row>
    <row r="138" spans="1:9" x14ac:dyDescent="0.2">
      <c r="A138" s="69" t="s">
        <v>132</v>
      </c>
    </row>
    <row r="139" spans="1:9" x14ac:dyDescent="0.2">
      <c r="B139" s="72" t="s">
        <v>133</v>
      </c>
      <c r="C139" s="71" t="s">
        <v>134</v>
      </c>
      <c r="D139" s="72" t="s">
        <v>138</v>
      </c>
      <c r="E139" s="68" t="s">
        <v>135</v>
      </c>
      <c r="F139" s="68" t="s">
        <v>136</v>
      </c>
      <c r="G139" s="68"/>
    </row>
    <row r="140" spans="1:9" x14ac:dyDescent="0.2">
      <c r="A140" s="80" t="s">
        <v>139</v>
      </c>
      <c r="B140" s="72">
        <v>1</v>
      </c>
      <c r="C140" s="71">
        <v>20</v>
      </c>
      <c r="D140" s="81">
        <v>2.4119999999999999</v>
      </c>
      <c r="E140" s="69">
        <v>1</v>
      </c>
      <c r="F140" s="68">
        <v>20</v>
      </c>
      <c r="G140" s="68"/>
    </row>
    <row r="141" spans="1:9" x14ac:dyDescent="0.2">
      <c r="A141" s="80" t="s">
        <v>140</v>
      </c>
      <c r="B141" s="72">
        <v>2</v>
      </c>
      <c r="C141" s="71">
        <v>20</v>
      </c>
      <c r="D141" s="81">
        <v>2.4169999999999998</v>
      </c>
      <c r="E141" s="69">
        <v>2</v>
      </c>
      <c r="F141" s="68">
        <v>20</v>
      </c>
      <c r="G141" s="68"/>
    </row>
    <row r="142" spans="1:9" x14ac:dyDescent="0.2">
      <c r="A142" s="80" t="s">
        <v>141</v>
      </c>
      <c r="B142" s="72">
        <v>3</v>
      </c>
      <c r="C142" s="71">
        <v>20</v>
      </c>
      <c r="D142" s="81">
        <v>2.4220000000000002</v>
      </c>
      <c r="E142" s="69">
        <v>3</v>
      </c>
      <c r="F142" s="68">
        <v>20</v>
      </c>
      <c r="G142" s="68"/>
    </row>
    <row r="143" spans="1:9" x14ac:dyDescent="0.2">
      <c r="A143" s="80" t="s">
        <v>142</v>
      </c>
      <c r="B143" s="72">
        <v>4</v>
      </c>
      <c r="C143" s="71">
        <v>20</v>
      </c>
      <c r="D143" s="81">
        <v>2.427</v>
      </c>
      <c r="E143" s="69">
        <v>4</v>
      </c>
      <c r="F143" s="68">
        <v>20</v>
      </c>
      <c r="G143" s="68"/>
    </row>
    <row r="144" spans="1:9" x14ac:dyDescent="0.2">
      <c r="A144" s="80" t="s">
        <v>143</v>
      </c>
      <c r="B144" s="72">
        <v>5</v>
      </c>
      <c r="C144" s="71">
        <v>20</v>
      </c>
      <c r="D144" s="81">
        <v>2.4319999999999999</v>
      </c>
      <c r="E144" s="69">
        <v>5</v>
      </c>
      <c r="F144" s="68">
        <v>20</v>
      </c>
      <c r="G144" s="68"/>
    </row>
    <row r="145" spans="1:7" x14ac:dyDescent="0.2">
      <c r="A145" s="80" t="s">
        <v>144</v>
      </c>
      <c r="B145" s="72">
        <v>6</v>
      </c>
      <c r="C145" s="71">
        <v>20</v>
      </c>
      <c r="D145" s="81">
        <v>2.4369999999999998</v>
      </c>
      <c r="E145" s="69">
        <v>6</v>
      </c>
      <c r="F145" s="68">
        <v>20</v>
      </c>
      <c r="G145" s="68"/>
    </row>
    <row r="146" spans="1:7" x14ac:dyDescent="0.2">
      <c r="A146" s="80" t="s">
        <v>145</v>
      </c>
      <c r="B146" s="72">
        <v>7</v>
      </c>
      <c r="C146" s="71">
        <v>20</v>
      </c>
      <c r="D146" s="81">
        <v>2.4420000000000002</v>
      </c>
      <c r="E146" s="69">
        <v>7</v>
      </c>
      <c r="F146" s="68">
        <v>20</v>
      </c>
      <c r="G146" s="68"/>
    </row>
    <row r="147" spans="1:7" x14ac:dyDescent="0.2">
      <c r="A147" s="80" t="s">
        <v>146</v>
      </c>
      <c r="B147" s="72">
        <v>8</v>
      </c>
      <c r="C147" s="71">
        <v>20</v>
      </c>
      <c r="D147" s="81">
        <v>2.4470000000000001</v>
      </c>
      <c r="E147" s="69">
        <v>8</v>
      </c>
      <c r="F147" s="68">
        <v>20</v>
      </c>
      <c r="G147" s="68"/>
    </row>
    <row r="148" spans="1:7" x14ac:dyDescent="0.2">
      <c r="A148" s="80" t="s">
        <v>147</v>
      </c>
      <c r="B148" s="72">
        <v>9</v>
      </c>
      <c r="C148" s="71">
        <v>20</v>
      </c>
      <c r="D148" s="81">
        <v>2.452</v>
      </c>
      <c r="E148" s="69">
        <v>9</v>
      </c>
      <c r="F148" s="68">
        <v>20</v>
      </c>
      <c r="G148" s="68"/>
    </row>
    <row r="149" spans="1:7" x14ac:dyDescent="0.2">
      <c r="A149" s="80" t="s">
        <v>148</v>
      </c>
      <c r="B149" s="72">
        <v>10</v>
      </c>
      <c r="C149" s="71">
        <v>20</v>
      </c>
      <c r="D149" s="81">
        <v>2.4569999999999999</v>
      </c>
      <c r="E149" s="69">
        <v>10</v>
      </c>
      <c r="F149" s="68">
        <v>20</v>
      </c>
      <c r="G149" s="68"/>
    </row>
    <row r="150" spans="1:7" x14ac:dyDescent="0.2">
      <c r="A150" s="80" t="s">
        <v>149</v>
      </c>
      <c r="B150" s="72">
        <v>11</v>
      </c>
      <c r="C150" s="71">
        <v>20</v>
      </c>
      <c r="D150" s="81">
        <v>2.4620000000000002</v>
      </c>
      <c r="E150" s="69">
        <v>11</v>
      </c>
      <c r="F150" s="68">
        <v>20</v>
      </c>
      <c r="G150" s="68"/>
    </row>
    <row r="151" spans="1:7" x14ac:dyDescent="0.2">
      <c r="A151" s="80" t="s">
        <v>150</v>
      </c>
      <c r="B151" s="72">
        <v>12</v>
      </c>
      <c r="C151" s="71">
        <v>20</v>
      </c>
      <c r="D151" s="81">
        <v>2.4670000000000001</v>
      </c>
      <c r="E151" s="69">
        <v>12</v>
      </c>
      <c r="F151" s="68">
        <v>20</v>
      </c>
      <c r="G151" s="68"/>
    </row>
    <row r="152" spans="1:7" x14ac:dyDescent="0.2">
      <c r="A152" s="80" t="s">
        <v>151</v>
      </c>
      <c r="B152" s="72">
        <v>13</v>
      </c>
      <c r="C152" s="71">
        <v>20</v>
      </c>
      <c r="D152" s="81">
        <v>2.472</v>
      </c>
      <c r="E152" s="69">
        <v>13</v>
      </c>
      <c r="F152" s="68">
        <v>20</v>
      </c>
      <c r="G152" s="68"/>
    </row>
    <row r="153" spans="1:7" x14ac:dyDescent="0.2">
      <c r="B153" s="69"/>
      <c r="D153" s="69"/>
      <c r="F153" s="68"/>
      <c r="G153" s="68"/>
    </row>
    <row r="154" spans="1:7" x14ac:dyDescent="0.2">
      <c r="B154" s="69" t="s">
        <v>137</v>
      </c>
      <c r="D154" s="69"/>
      <c r="F154" s="68"/>
      <c r="G154" s="68"/>
    </row>
    <row r="155" spans="1:7" x14ac:dyDescent="0.2">
      <c r="B155" s="72" t="s">
        <v>133</v>
      </c>
      <c r="C155" s="71" t="s">
        <v>134</v>
      </c>
      <c r="D155" s="72" t="s">
        <v>138</v>
      </c>
      <c r="E155" s="68" t="s">
        <v>135</v>
      </c>
      <c r="F155" s="68" t="s">
        <v>136</v>
      </c>
      <c r="G155" s="68"/>
    </row>
    <row r="156" spans="1:7" x14ac:dyDescent="0.2">
      <c r="A156" s="80" t="s">
        <v>152</v>
      </c>
      <c r="B156" s="72">
        <v>36</v>
      </c>
      <c r="C156" s="71">
        <v>20</v>
      </c>
      <c r="D156" s="81">
        <v>5.18</v>
      </c>
      <c r="E156" s="68">
        <f>B156</f>
        <v>36</v>
      </c>
      <c r="F156" s="68">
        <f>C156</f>
        <v>20</v>
      </c>
      <c r="G156" s="68"/>
    </row>
    <row r="157" spans="1:7" x14ac:dyDescent="0.2">
      <c r="A157" s="80" t="s">
        <v>161</v>
      </c>
      <c r="B157" s="72">
        <v>38</v>
      </c>
      <c r="C157" s="71">
        <v>40</v>
      </c>
      <c r="D157" s="81"/>
      <c r="E157" s="68">
        <f>E156</f>
        <v>36</v>
      </c>
      <c r="F157" s="68">
        <f t="shared" ref="F157:F170" si="0">C157</f>
        <v>40</v>
      </c>
      <c r="G157" s="68"/>
    </row>
    <row r="158" spans="1:7" x14ac:dyDescent="0.2">
      <c r="A158" s="80" t="s">
        <v>153</v>
      </c>
      <c r="B158" s="72">
        <v>40</v>
      </c>
      <c r="C158" s="71">
        <v>20</v>
      </c>
      <c r="D158" s="81">
        <v>5.2</v>
      </c>
      <c r="E158" s="68">
        <f t="shared" ref="E158:E162" si="1">B158</f>
        <v>40</v>
      </c>
      <c r="F158" s="68">
        <f t="shared" si="0"/>
        <v>20</v>
      </c>
      <c r="G158" s="68"/>
    </row>
    <row r="159" spans="1:7" x14ac:dyDescent="0.2">
      <c r="A159" s="80" t="s">
        <v>166</v>
      </c>
      <c r="B159" s="72">
        <v>42</v>
      </c>
      <c r="C159" s="71">
        <v>80</v>
      </c>
      <c r="D159" s="81"/>
      <c r="E159" s="68">
        <f>E156</f>
        <v>36</v>
      </c>
      <c r="F159" s="68">
        <f t="shared" si="0"/>
        <v>80</v>
      </c>
      <c r="G159" s="68"/>
    </row>
    <row r="160" spans="1:7" x14ac:dyDescent="0.2">
      <c r="A160" s="80" t="s">
        <v>154</v>
      </c>
      <c r="B160" s="72">
        <v>44</v>
      </c>
      <c r="C160" s="71">
        <v>20</v>
      </c>
      <c r="D160" s="81">
        <v>5.22</v>
      </c>
      <c r="E160" s="68">
        <f t="shared" si="1"/>
        <v>44</v>
      </c>
      <c r="F160" s="68">
        <f t="shared" si="0"/>
        <v>20</v>
      </c>
      <c r="G160" s="68"/>
    </row>
    <row r="161" spans="1:7" x14ac:dyDescent="0.2">
      <c r="A161" s="80" t="s">
        <v>162</v>
      </c>
      <c r="B161" s="72">
        <v>46</v>
      </c>
      <c r="C161" s="71">
        <v>40</v>
      </c>
      <c r="D161" s="81"/>
      <c r="E161" s="68">
        <f>E160</f>
        <v>44</v>
      </c>
      <c r="F161" s="68">
        <f t="shared" si="0"/>
        <v>40</v>
      </c>
      <c r="G161" s="68"/>
    </row>
    <row r="162" spans="1:7" x14ac:dyDescent="0.2">
      <c r="A162" s="80" t="s">
        <v>155</v>
      </c>
      <c r="B162" s="72">
        <v>48</v>
      </c>
      <c r="C162" s="71">
        <v>20</v>
      </c>
      <c r="D162" s="81">
        <v>5.24</v>
      </c>
      <c r="E162" s="68">
        <f t="shared" si="1"/>
        <v>48</v>
      </c>
      <c r="F162" s="68">
        <f t="shared" si="0"/>
        <v>20</v>
      </c>
      <c r="G162" s="68"/>
    </row>
    <row r="163" spans="1:7" x14ac:dyDescent="0.2">
      <c r="A163" s="80" t="s">
        <v>156</v>
      </c>
      <c r="B163" s="72">
        <v>149</v>
      </c>
      <c r="C163" s="71">
        <v>20</v>
      </c>
      <c r="D163" s="81">
        <v>5.7450000000000001</v>
      </c>
      <c r="E163" s="68">
        <f>B163</f>
        <v>149</v>
      </c>
      <c r="F163" s="68">
        <f t="shared" si="0"/>
        <v>20</v>
      </c>
      <c r="G163" s="68"/>
    </row>
    <row r="164" spans="1:7" x14ac:dyDescent="0.2">
      <c r="A164" s="80" t="s">
        <v>163</v>
      </c>
      <c r="B164" s="72">
        <v>151</v>
      </c>
      <c r="C164" s="71">
        <v>40</v>
      </c>
      <c r="D164" s="81"/>
      <c r="E164" s="68">
        <f>E163</f>
        <v>149</v>
      </c>
      <c r="F164" s="68">
        <f t="shared" si="0"/>
        <v>40</v>
      </c>
      <c r="G164" s="68"/>
    </row>
    <row r="165" spans="1:7" x14ac:dyDescent="0.2">
      <c r="A165" s="80" t="s">
        <v>157</v>
      </c>
      <c r="B165" s="72">
        <v>153</v>
      </c>
      <c r="C165" s="71">
        <v>20</v>
      </c>
      <c r="D165" s="81">
        <v>5.7750000000000004</v>
      </c>
      <c r="E165" s="68">
        <f>B165</f>
        <v>153</v>
      </c>
      <c r="F165" s="68">
        <f t="shared" si="0"/>
        <v>20</v>
      </c>
      <c r="G165" s="68"/>
    </row>
    <row r="166" spans="1:7" x14ac:dyDescent="0.2">
      <c r="A166" s="80" t="s">
        <v>165</v>
      </c>
      <c r="B166" s="72">
        <v>155</v>
      </c>
      <c r="C166" s="71">
        <v>80</v>
      </c>
      <c r="D166" s="81"/>
      <c r="E166" s="68">
        <f>E163</f>
        <v>149</v>
      </c>
      <c r="F166" s="68">
        <f t="shared" si="0"/>
        <v>80</v>
      </c>
    </row>
    <row r="167" spans="1:7" x14ac:dyDescent="0.2">
      <c r="A167" s="80" t="s">
        <v>158</v>
      </c>
      <c r="B167" s="72">
        <v>157</v>
      </c>
      <c r="C167" s="71">
        <v>20</v>
      </c>
      <c r="D167" s="81">
        <v>5.8049999999999997</v>
      </c>
      <c r="E167" s="68">
        <f>B167</f>
        <v>157</v>
      </c>
      <c r="F167" s="68">
        <f t="shared" si="0"/>
        <v>20</v>
      </c>
    </row>
    <row r="168" spans="1:7" x14ac:dyDescent="0.2">
      <c r="A168" s="80" t="s">
        <v>164</v>
      </c>
      <c r="B168" s="72">
        <v>159</v>
      </c>
      <c r="C168" s="71">
        <v>40</v>
      </c>
      <c r="D168" s="81"/>
      <c r="E168" s="68">
        <f>E167</f>
        <v>157</v>
      </c>
      <c r="F168" s="68">
        <f t="shared" si="0"/>
        <v>40</v>
      </c>
    </row>
    <row r="169" spans="1:7" x14ac:dyDescent="0.2">
      <c r="A169" s="80" t="s">
        <v>159</v>
      </c>
      <c r="B169" s="72">
        <v>161</v>
      </c>
      <c r="C169" s="71">
        <v>20</v>
      </c>
      <c r="D169" s="81">
        <v>5.835</v>
      </c>
      <c r="E169" s="68">
        <f t="shared" ref="E169:E170" si="2">B169</f>
        <v>161</v>
      </c>
      <c r="F169" s="68">
        <f t="shared" si="0"/>
        <v>20</v>
      </c>
    </row>
    <row r="170" spans="1:7" x14ac:dyDescent="0.2">
      <c r="A170" s="80" t="s">
        <v>160</v>
      </c>
      <c r="B170" s="72">
        <v>165</v>
      </c>
      <c r="C170" s="71">
        <v>20</v>
      </c>
      <c r="D170" s="81">
        <v>5.8650000000000002</v>
      </c>
      <c r="E170" s="68">
        <f t="shared" si="2"/>
        <v>165</v>
      </c>
      <c r="F170" s="68">
        <f t="shared" si="0"/>
        <v>20</v>
      </c>
    </row>
    <row r="171" spans="1:7" x14ac:dyDescent="0.2">
      <c r="B171" s="69"/>
      <c r="C171" s="69"/>
      <c r="D171" s="69"/>
      <c r="E171" s="69"/>
    </row>
    <row r="172" spans="1:7" x14ac:dyDescent="0.2">
      <c r="B172" s="69"/>
      <c r="C172" s="69"/>
      <c r="D172" s="69"/>
      <c r="E172" s="69"/>
    </row>
    <row r="173" spans="1:7" x14ac:dyDescent="0.2">
      <c r="B173" s="69"/>
      <c r="C173" s="69"/>
      <c r="D173" s="69"/>
      <c r="E173" s="69"/>
    </row>
    <row r="174" spans="1:7" x14ac:dyDescent="0.2">
      <c r="A174" s="69" t="s">
        <v>645</v>
      </c>
      <c r="B174" s="68" t="s">
        <v>641</v>
      </c>
    </row>
    <row r="175" spans="1:7" x14ac:dyDescent="0.2">
      <c r="A175" s="82" t="s">
        <v>168</v>
      </c>
      <c r="B175" s="82" t="s">
        <v>169</v>
      </c>
    </row>
    <row r="176" spans="1:7" x14ac:dyDescent="0.2">
      <c r="A176" s="82" t="s">
        <v>170</v>
      </c>
      <c r="B176" s="82" t="s">
        <v>171</v>
      </c>
    </row>
    <row r="177" spans="1:2" x14ac:dyDescent="0.2">
      <c r="A177" s="82" t="s">
        <v>172</v>
      </c>
      <c r="B177" s="82" t="s">
        <v>173</v>
      </c>
    </row>
    <row r="178" spans="1:2" x14ac:dyDescent="0.2">
      <c r="A178" s="82" t="s">
        <v>174</v>
      </c>
      <c r="B178" s="82" t="s">
        <v>175</v>
      </c>
    </row>
    <row r="179" spans="1:2" x14ac:dyDescent="0.2">
      <c r="A179" s="82" t="s">
        <v>178</v>
      </c>
      <c r="B179" s="82" t="s">
        <v>179</v>
      </c>
    </row>
    <row r="180" spans="1:2" x14ac:dyDescent="0.2">
      <c r="A180" s="82" t="s">
        <v>180</v>
      </c>
      <c r="B180" s="82" t="s">
        <v>181</v>
      </c>
    </row>
    <row r="181" spans="1:2" x14ac:dyDescent="0.2">
      <c r="A181" s="82" t="s">
        <v>182</v>
      </c>
      <c r="B181" s="82" t="s">
        <v>183</v>
      </c>
    </row>
    <row r="182" spans="1:2" x14ac:dyDescent="0.2">
      <c r="A182" s="82" t="s">
        <v>567</v>
      </c>
      <c r="B182" s="82" t="s">
        <v>566</v>
      </c>
    </row>
    <row r="183" spans="1:2" x14ac:dyDescent="0.2">
      <c r="A183" s="82" t="s">
        <v>184</v>
      </c>
      <c r="B183" s="82" t="s">
        <v>185</v>
      </c>
    </row>
    <row r="184" spans="1:2" x14ac:dyDescent="0.2">
      <c r="A184" s="82" t="s">
        <v>568</v>
      </c>
      <c r="B184" s="82" t="s">
        <v>186</v>
      </c>
    </row>
    <row r="185" spans="1:2" x14ac:dyDescent="0.2">
      <c r="A185" s="82" t="s">
        <v>187</v>
      </c>
      <c r="B185" s="82" t="s">
        <v>188</v>
      </c>
    </row>
    <row r="186" spans="1:2" x14ac:dyDescent="0.2">
      <c r="A186" s="82" t="s">
        <v>189</v>
      </c>
      <c r="B186" s="82" t="s">
        <v>190</v>
      </c>
    </row>
    <row r="187" spans="1:2" x14ac:dyDescent="0.2">
      <c r="A187" s="82" t="s">
        <v>191</v>
      </c>
      <c r="B187" s="82" t="s">
        <v>192</v>
      </c>
    </row>
    <row r="188" spans="1:2" x14ac:dyDescent="0.2">
      <c r="A188" s="82" t="s">
        <v>193</v>
      </c>
      <c r="B188" s="82" t="s">
        <v>194</v>
      </c>
    </row>
    <row r="189" spans="1:2" x14ac:dyDescent="0.2">
      <c r="A189" s="82" t="s">
        <v>195</v>
      </c>
      <c r="B189" s="82" t="s">
        <v>196</v>
      </c>
    </row>
    <row r="190" spans="1:2" x14ac:dyDescent="0.2">
      <c r="A190" s="82" t="s">
        <v>197</v>
      </c>
      <c r="B190" s="82" t="s">
        <v>198</v>
      </c>
    </row>
    <row r="191" spans="1:2" x14ac:dyDescent="0.2">
      <c r="A191" s="82" t="s">
        <v>199</v>
      </c>
      <c r="B191" s="82" t="s">
        <v>200</v>
      </c>
    </row>
    <row r="192" spans="1:2" x14ac:dyDescent="0.2">
      <c r="A192" s="82" t="s">
        <v>201</v>
      </c>
      <c r="B192" s="82" t="s">
        <v>202</v>
      </c>
    </row>
    <row r="193" spans="1:2" x14ac:dyDescent="0.2">
      <c r="A193" s="82" t="s">
        <v>569</v>
      </c>
      <c r="B193" s="82" t="s">
        <v>203</v>
      </c>
    </row>
    <row r="194" spans="1:2" x14ac:dyDescent="0.2">
      <c r="A194" s="82" t="s">
        <v>204</v>
      </c>
      <c r="B194" s="82" t="s">
        <v>205</v>
      </c>
    </row>
    <row r="195" spans="1:2" x14ac:dyDescent="0.2">
      <c r="A195" s="82" t="s">
        <v>207</v>
      </c>
      <c r="B195" s="82" t="s">
        <v>208</v>
      </c>
    </row>
    <row r="196" spans="1:2" x14ac:dyDescent="0.2">
      <c r="A196" s="82" t="s">
        <v>209</v>
      </c>
      <c r="B196" s="82" t="s">
        <v>210</v>
      </c>
    </row>
    <row r="197" spans="1:2" x14ac:dyDescent="0.2">
      <c r="A197" s="82" t="s">
        <v>211</v>
      </c>
      <c r="B197" s="82" t="s">
        <v>212</v>
      </c>
    </row>
    <row r="198" spans="1:2" x14ac:dyDescent="0.2">
      <c r="A198" s="82" t="s">
        <v>570</v>
      </c>
      <c r="B198" s="82" t="s">
        <v>213</v>
      </c>
    </row>
    <row r="199" spans="1:2" x14ac:dyDescent="0.2">
      <c r="A199" s="82" t="s">
        <v>214</v>
      </c>
      <c r="B199" s="82" t="s">
        <v>215</v>
      </c>
    </row>
    <row r="200" spans="1:2" x14ac:dyDescent="0.2">
      <c r="A200" s="82" t="s">
        <v>571</v>
      </c>
      <c r="B200" s="82" t="s">
        <v>112</v>
      </c>
    </row>
    <row r="201" spans="1:2" x14ac:dyDescent="0.2">
      <c r="A201" s="82" t="s">
        <v>216</v>
      </c>
      <c r="B201" s="82" t="s">
        <v>217</v>
      </c>
    </row>
    <row r="202" spans="1:2" x14ac:dyDescent="0.2">
      <c r="A202" s="82" t="s">
        <v>572</v>
      </c>
      <c r="B202" s="82" t="s">
        <v>218</v>
      </c>
    </row>
    <row r="203" spans="1:2" x14ac:dyDescent="0.2">
      <c r="A203" s="82" t="s">
        <v>573</v>
      </c>
      <c r="B203" s="82" t="s">
        <v>134</v>
      </c>
    </row>
    <row r="204" spans="1:2" x14ac:dyDescent="0.2">
      <c r="A204" s="82" t="s">
        <v>575</v>
      </c>
      <c r="B204" s="82" t="s">
        <v>574</v>
      </c>
    </row>
    <row r="205" spans="1:2" x14ac:dyDescent="0.2">
      <c r="A205" s="82" t="s">
        <v>219</v>
      </c>
      <c r="B205" s="82" t="s">
        <v>220</v>
      </c>
    </row>
    <row r="206" spans="1:2" x14ac:dyDescent="0.2">
      <c r="A206" s="82" t="s">
        <v>577</v>
      </c>
      <c r="B206" s="82" t="s">
        <v>576</v>
      </c>
    </row>
    <row r="207" spans="1:2" x14ac:dyDescent="0.2">
      <c r="A207" s="82" t="s">
        <v>578</v>
      </c>
      <c r="B207" s="82" t="s">
        <v>222</v>
      </c>
    </row>
    <row r="208" spans="1:2" x14ac:dyDescent="0.2">
      <c r="A208" s="82" t="s">
        <v>223</v>
      </c>
      <c r="B208" s="82" t="s">
        <v>224</v>
      </c>
    </row>
    <row r="209" spans="1:2" x14ac:dyDescent="0.2">
      <c r="A209" s="82" t="s">
        <v>225</v>
      </c>
      <c r="B209" s="82" t="s">
        <v>226</v>
      </c>
    </row>
    <row r="210" spans="1:2" x14ac:dyDescent="0.2">
      <c r="A210" s="82" t="s">
        <v>227</v>
      </c>
      <c r="B210" s="82" t="s">
        <v>228</v>
      </c>
    </row>
    <row r="211" spans="1:2" x14ac:dyDescent="0.2">
      <c r="A211" s="82" t="s">
        <v>230</v>
      </c>
      <c r="B211" s="82" t="s">
        <v>231</v>
      </c>
    </row>
    <row r="212" spans="1:2" x14ac:dyDescent="0.2">
      <c r="A212" s="82" t="s">
        <v>232</v>
      </c>
      <c r="B212" s="82" t="s">
        <v>233</v>
      </c>
    </row>
    <row r="213" spans="1:2" x14ac:dyDescent="0.2">
      <c r="A213" s="82" t="s">
        <v>579</v>
      </c>
      <c r="B213" s="82" t="s">
        <v>559</v>
      </c>
    </row>
    <row r="214" spans="1:2" x14ac:dyDescent="0.2">
      <c r="A214" s="82" t="s">
        <v>580</v>
      </c>
      <c r="B214" s="82" t="s">
        <v>234</v>
      </c>
    </row>
    <row r="215" spans="1:2" x14ac:dyDescent="0.2">
      <c r="A215" s="82" t="s">
        <v>235</v>
      </c>
      <c r="B215" s="82" t="s">
        <v>236</v>
      </c>
    </row>
    <row r="216" spans="1:2" x14ac:dyDescent="0.2">
      <c r="A216" s="82" t="s">
        <v>238</v>
      </c>
      <c r="B216" s="82" t="s">
        <v>239</v>
      </c>
    </row>
    <row r="217" spans="1:2" x14ac:dyDescent="0.2">
      <c r="A217" s="82" t="s">
        <v>240</v>
      </c>
      <c r="B217" s="82" t="s">
        <v>241</v>
      </c>
    </row>
    <row r="218" spans="1:2" x14ac:dyDescent="0.2">
      <c r="A218" s="82" t="s">
        <v>581</v>
      </c>
      <c r="B218" s="82" t="s">
        <v>245</v>
      </c>
    </row>
    <row r="219" spans="1:2" x14ac:dyDescent="0.2">
      <c r="A219" s="82" t="s">
        <v>582</v>
      </c>
      <c r="B219" s="82" t="s">
        <v>242</v>
      </c>
    </row>
    <row r="220" spans="1:2" x14ac:dyDescent="0.2">
      <c r="A220" s="82" t="s">
        <v>243</v>
      </c>
      <c r="B220" s="82" t="s">
        <v>244</v>
      </c>
    </row>
    <row r="221" spans="1:2" x14ac:dyDescent="0.2">
      <c r="A221" s="82" t="s">
        <v>246</v>
      </c>
      <c r="B221" s="82" t="s">
        <v>247</v>
      </c>
    </row>
    <row r="222" spans="1:2" x14ac:dyDescent="0.2">
      <c r="A222" s="82" t="s">
        <v>248</v>
      </c>
      <c r="B222" s="82" t="s">
        <v>249</v>
      </c>
    </row>
    <row r="223" spans="1:2" x14ac:dyDescent="0.2">
      <c r="A223" s="82" t="s">
        <v>583</v>
      </c>
      <c r="B223" s="82" t="s">
        <v>237</v>
      </c>
    </row>
    <row r="224" spans="1:2" x14ac:dyDescent="0.2">
      <c r="A224" s="82" t="s">
        <v>250</v>
      </c>
      <c r="B224" s="82" t="s">
        <v>251</v>
      </c>
    </row>
    <row r="225" spans="1:2" x14ac:dyDescent="0.2">
      <c r="A225" s="82" t="s">
        <v>252</v>
      </c>
      <c r="B225" s="82" t="s">
        <v>253</v>
      </c>
    </row>
    <row r="226" spans="1:2" x14ac:dyDescent="0.2">
      <c r="A226" s="82" t="s">
        <v>584</v>
      </c>
      <c r="B226" s="82" t="s">
        <v>255</v>
      </c>
    </row>
    <row r="227" spans="1:2" x14ac:dyDescent="0.2">
      <c r="A227" s="82" t="s">
        <v>585</v>
      </c>
      <c r="B227" s="82" t="s">
        <v>256</v>
      </c>
    </row>
    <row r="228" spans="1:2" x14ac:dyDescent="0.2">
      <c r="A228" s="82" t="s">
        <v>257</v>
      </c>
      <c r="B228" s="82" t="s">
        <v>258</v>
      </c>
    </row>
    <row r="229" spans="1:2" x14ac:dyDescent="0.2">
      <c r="A229" s="82" t="s">
        <v>259</v>
      </c>
      <c r="B229" s="82" t="s">
        <v>260</v>
      </c>
    </row>
    <row r="230" spans="1:2" x14ac:dyDescent="0.2">
      <c r="A230" s="82" t="s">
        <v>261</v>
      </c>
      <c r="B230" s="82" t="s">
        <v>262</v>
      </c>
    </row>
    <row r="231" spans="1:2" x14ac:dyDescent="0.2">
      <c r="A231" s="82" t="s">
        <v>586</v>
      </c>
      <c r="B231" s="82" t="s">
        <v>263</v>
      </c>
    </row>
    <row r="232" spans="1:2" x14ac:dyDescent="0.2">
      <c r="A232" s="82" t="s">
        <v>587</v>
      </c>
      <c r="B232" s="82" t="s">
        <v>264</v>
      </c>
    </row>
    <row r="233" spans="1:2" x14ac:dyDescent="0.2">
      <c r="A233" s="82" t="s">
        <v>589</v>
      </c>
      <c r="B233" s="82" t="s">
        <v>588</v>
      </c>
    </row>
    <row r="234" spans="1:2" x14ac:dyDescent="0.2">
      <c r="A234" s="82" t="s">
        <v>265</v>
      </c>
      <c r="B234" s="82" t="s">
        <v>266</v>
      </c>
    </row>
    <row r="235" spans="1:2" x14ac:dyDescent="0.2">
      <c r="A235" s="82" t="s">
        <v>267</v>
      </c>
      <c r="B235" s="82" t="s">
        <v>268</v>
      </c>
    </row>
    <row r="236" spans="1:2" x14ac:dyDescent="0.2">
      <c r="A236" s="82" t="s">
        <v>270</v>
      </c>
      <c r="B236" s="82" t="s">
        <v>271</v>
      </c>
    </row>
    <row r="237" spans="1:2" x14ac:dyDescent="0.2">
      <c r="A237" s="82" t="s">
        <v>272</v>
      </c>
      <c r="B237" s="82" t="s">
        <v>273</v>
      </c>
    </row>
    <row r="238" spans="1:2" x14ac:dyDescent="0.2">
      <c r="A238" s="82" t="s">
        <v>274</v>
      </c>
      <c r="B238" s="82" t="s">
        <v>275</v>
      </c>
    </row>
    <row r="239" spans="1:2" x14ac:dyDescent="0.2">
      <c r="A239" s="82" t="s">
        <v>276</v>
      </c>
      <c r="B239" s="82" t="s">
        <v>277</v>
      </c>
    </row>
    <row r="240" spans="1:2" x14ac:dyDescent="0.2">
      <c r="A240" s="82" t="s">
        <v>278</v>
      </c>
      <c r="B240" s="82" t="s">
        <v>279</v>
      </c>
    </row>
    <row r="241" spans="1:2" x14ac:dyDescent="0.2">
      <c r="A241" s="82" t="s">
        <v>280</v>
      </c>
      <c r="B241" s="82" t="s">
        <v>281</v>
      </c>
    </row>
    <row r="242" spans="1:2" x14ac:dyDescent="0.2">
      <c r="A242" s="82" t="s">
        <v>282</v>
      </c>
      <c r="B242" s="82" t="s">
        <v>590</v>
      </c>
    </row>
    <row r="243" spans="1:2" x14ac:dyDescent="0.2">
      <c r="A243" s="82" t="s">
        <v>591</v>
      </c>
      <c r="B243" s="82" t="s">
        <v>283</v>
      </c>
    </row>
    <row r="244" spans="1:2" x14ac:dyDescent="0.2">
      <c r="A244" s="82" t="s">
        <v>284</v>
      </c>
      <c r="B244" s="82" t="s">
        <v>285</v>
      </c>
    </row>
    <row r="245" spans="1:2" x14ac:dyDescent="0.2">
      <c r="A245" s="82" t="s">
        <v>286</v>
      </c>
      <c r="B245" s="82" t="s">
        <v>287</v>
      </c>
    </row>
    <row r="246" spans="1:2" x14ac:dyDescent="0.2">
      <c r="A246" s="82" t="s">
        <v>288</v>
      </c>
      <c r="B246" s="82" t="s">
        <v>289</v>
      </c>
    </row>
    <row r="247" spans="1:2" x14ac:dyDescent="0.2">
      <c r="A247" s="82" t="s">
        <v>290</v>
      </c>
      <c r="B247" s="82" t="s">
        <v>291</v>
      </c>
    </row>
    <row r="248" spans="1:2" x14ac:dyDescent="0.2">
      <c r="A248" s="82" t="s">
        <v>592</v>
      </c>
      <c r="B248" s="82" t="s">
        <v>292</v>
      </c>
    </row>
    <row r="249" spans="1:2" x14ac:dyDescent="0.2">
      <c r="A249" s="82" t="s">
        <v>293</v>
      </c>
      <c r="B249" s="82" t="s">
        <v>294</v>
      </c>
    </row>
    <row r="250" spans="1:2" x14ac:dyDescent="0.2">
      <c r="A250" s="82" t="s">
        <v>295</v>
      </c>
      <c r="B250" s="82" t="s">
        <v>296</v>
      </c>
    </row>
    <row r="251" spans="1:2" x14ac:dyDescent="0.2">
      <c r="A251" s="82" t="s">
        <v>594</v>
      </c>
      <c r="B251" s="82" t="s">
        <v>593</v>
      </c>
    </row>
    <row r="252" spans="1:2" x14ac:dyDescent="0.2">
      <c r="A252" s="82" t="s">
        <v>297</v>
      </c>
      <c r="B252" s="82" t="s">
        <v>298</v>
      </c>
    </row>
    <row r="253" spans="1:2" x14ac:dyDescent="0.2">
      <c r="A253" s="82" t="s">
        <v>595</v>
      </c>
      <c r="B253" s="82" t="s">
        <v>299</v>
      </c>
    </row>
    <row r="254" spans="1:2" x14ac:dyDescent="0.2">
      <c r="A254" s="82" t="s">
        <v>300</v>
      </c>
      <c r="B254" s="82" t="s">
        <v>301</v>
      </c>
    </row>
    <row r="255" spans="1:2" x14ac:dyDescent="0.2">
      <c r="A255" s="82" t="s">
        <v>302</v>
      </c>
      <c r="B255" s="82" t="s">
        <v>303</v>
      </c>
    </row>
    <row r="256" spans="1:2" x14ac:dyDescent="0.2">
      <c r="A256" s="82" t="s">
        <v>304</v>
      </c>
      <c r="B256" s="82" t="s">
        <v>305</v>
      </c>
    </row>
    <row r="257" spans="1:2" x14ac:dyDescent="0.2">
      <c r="A257" s="82" t="s">
        <v>306</v>
      </c>
      <c r="B257" s="82" t="s">
        <v>307</v>
      </c>
    </row>
    <row r="258" spans="1:2" x14ac:dyDescent="0.2">
      <c r="A258" s="82" t="s">
        <v>308</v>
      </c>
      <c r="B258" s="82" t="s">
        <v>309</v>
      </c>
    </row>
    <row r="259" spans="1:2" x14ac:dyDescent="0.2">
      <c r="A259" s="82" t="s">
        <v>310</v>
      </c>
      <c r="B259" s="82" t="s">
        <v>311</v>
      </c>
    </row>
    <row r="260" spans="1:2" x14ac:dyDescent="0.2">
      <c r="A260" s="82" t="s">
        <v>312</v>
      </c>
      <c r="B260" s="82" t="s">
        <v>313</v>
      </c>
    </row>
    <row r="261" spans="1:2" x14ac:dyDescent="0.2">
      <c r="A261" s="82" t="s">
        <v>314</v>
      </c>
      <c r="B261" s="82" t="s">
        <v>315</v>
      </c>
    </row>
    <row r="262" spans="1:2" x14ac:dyDescent="0.2">
      <c r="A262" s="82" t="s">
        <v>316</v>
      </c>
      <c r="B262" s="82" t="s">
        <v>317</v>
      </c>
    </row>
    <row r="263" spans="1:2" x14ac:dyDescent="0.2">
      <c r="A263" s="82" t="s">
        <v>318</v>
      </c>
      <c r="B263" s="82" t="s">
        <v>319</v>
      </c>
    </row>
    <row r="264" spans="1:2" x14ac:dyDescent="0.2">
      <c r="A264" s="82" t="s">
        <v>320</v>
      </c>
      <c r="B264" s="82" t="s">
        <v>321</v>
      </c>
    </row>
    <row r="265" spans="1:2" x14ac:dyDescent="0.2">
      <c r="A265" s="82" t="s">
        <v>322</v>
      </c>
      <c r="B265" s="82" t="s">
        <v>323</v>
      </c>
    </row>
    <row r="266" spans="1:2" x14ac:dyDescent="0.2">
      <c r="A266" s="82" t="s">
        <v>597</v>
      </c>
      <c r="B266" s="82" t="s">
        <v>596</v>
      </c>
    </row>
    <row r="267" spans="1:2" x14ac:dyDescent="0.2">
      <c r="A267" s="82" t="s">
        <v>598</v>
      </c>
      <c r="B267" s="82" t="s">
        <v>324</v>
      </c>
    </row>
    <row r="268" spans="1:2" x14ac:dyDescent="0.2">
      <c r="A268" s="82" t="s">
        <v>325</v>
      </c>
      <c r="B268" s="82" t="s">
        <v>326</v>
      </c>
    </row>
    <row r="269" spans="1:2" x14ac:dyDescent="0.2">
      <c r="A269" s="82" t="s">
        <v>327</v>
      </c>
      <c r="B269" s="82" t="s">
        <v>328</v>
      </c>
    </row>
    <row r="270" spans="1:2" x14ac:dyDescent="0.2">
      <c r="A270" s="82" t="s">
        <v>329</v>
      </c>
      <c r="B270" s="82" t="s">
        <v>330</v>
      </c>
    </row>
    <row r="271" spans="1:2" x14ac:dyDescent="0.2">
      <c r="A271" s="82" t="s">
        <v>599</v>
      </c>
      <c r="B271" s="82" t="s">
        <v>229</v>
      </c>
    </row>
    <row r="272" spans="1:2" x14ac:dyDescent="0.2">
      <c r="A272" s="82" t="s">
        <v>331</v>
      </c>
      <c r="B272" s="82" t="s">
        <v>332</v>
      </c>
    </row>
    <row r="273" spans="1:2" x14ac:dyDescent="0.2">
      <c r="A273" s="82" t="s">
        <v>334</v>
      </c>
      <c r="B273" s="82" t="s">
        <v>335</v>
      </c>
    </row>
    <row r="274" spans="1:2" x14ac:dyDescent="0.2">
      <c r="A274" s="82" t="s">
        <v>336</v>
      </c>
      <c r="B274" s="82" t="s">
        <v>337</v>
      </c>
    </row>
    <row r="275" spans="1:2" x14ac:dyDescent="0.2">
      <c r="A275" s="82" t="s">
        <v>338</v>
      </c>
      <c r="B275" s="82" t="s">
        <v>339</v>
      </c>
    </row>
    <row r="276" spans="1:2" x14ac:dyDescent="0.2">
      <c r="A276" s="82" t="s">
        <v>600</v>
      </c>
      <c r="B276" s="82" t="s">
        <v>340</v>
      </c>
    </row>
    <row r="277" spans="1:2" x14ac:dyDescent="0.2">
      <c r="A277" s="82" t="s">
        <v>341</v>
      </c>
      <c r="B277" s="82" t="s">
        <v>342</v>
      </c>
    </row>
    <row r="278" spans="1:2" x14ac:dyDescent="0.2">
      <c r="A278" s="82" t="s">
        <v>343</v>
      </c>
      <c r="B278" s="82" t="s">
        <v>344</v>
      </c>
    </row>
    <row r="279" spans="1:2" x14ac:dyDescent="0.2">
      <c r="A279" s="82" t="s">
        <v>345</v>
      </c>
      <c r="B279" s="82" t="s">
        <v>346</v>
      </c>
    </row>
    <row r="280" spans="1:2" x14ac:dyDescent="0.2">
      <c r="A280" s="82" t="s">
        <v>601</v>
      </c>
      <c r="B280" s="82" t="s">
        <v>347</v>
      </c>
    </row>
    <row r="281" spans="1:2" x14ac:dyDescent="0.2">
      <c r="A281" s="82" t="s">
        <v>350</v>
      </c>
      <c r="B281" s="82" t="s">
        <v>351</v>
      </c>
    </row>
    <row r="282" spans="1:2" x14ac:dyDescent="0.2">
      <c r="A282" s="82" t="s">
        <v>352</v>
      </c>
      <c r="B282" s="82" t="s">
        <v>353</v>
      </c>
    </row>
    <row r="283" spans="1:2" x14ac:dyDescent="0.2">
      <c r="A283" s="82" t="s">
        <v>354</v>
      </c>
      <c r="B283" s="82" t="s">
        <v>355</v>
      </c>
    </row>
    <row r="284" spans="1:2" x14ac:dyDescent="0.2">
      <c r="A284" s="82" t="s">
        <v>356</v>
      </c>
      <c r="B284" s="82" t="s">
        <v>357</v>
      </c>
    </row>
    <row r="285" spans="1:2" x14ac:dyDescent="0.2">
      <c r="A285" s="82" t="s">
        <v>358</v>
      </c>
      <c r="B285" s="82" t="s">
        <v>359</v>
      </c>
    </row>
    <row r="286" spans="1:2" x14ac:dyDescent="0.2">
      <c r="A286" s="82" t="s">
        <v>360</v>
      </c>
      <c r="B286" s="82" t="s">
        <v>361</v>
      </c>
    </row>
    <row r="287" spans="1:2" x14ac:dyDescent="0.2">
      <c r="A287" s="82" t="s">
        <v>362</v>
      </c>
      <c r="B287" s="82" t="s">
        <v>363</v>
      </c>
    </row>
    <row r="288" spans="1:2" x14ac:dyDescent="0.2">
      <c r="A288" s="82" t="s">
        <v>364</v>
      </c>
      <c r="B288" s="82" t="s">
        <v>365</v>
      </c>
    </row>
    <row r="289" spans="1:2" x14ac:dyDescent="0.2">
      <c r="A289" s="82" t="s">
        <v>366</v>
      </c>
      <c r="B289" s="82" t="s">
        <v>367</v>
      </c>
    </row>
    <row r="290" spans="1:2" x14ac:dyDescent="0.2">
      <c r="A290" s="82" t="s">
        <v>368</v>
      </c>
      <c r="B290" s="82" t="s">
        <v>369</v>
      </c>
    </row>
    <row r="291" spans="1:2" x14ac:dyDescent="0.2">
      <c r="A291" s="82" t="s">
        <v>370</v>
      </c>
      <c r="B291" s="82" t="s">
        <v>371</v>
      </c>
    </row>
    <row r="292" spans="1:2" x14ac:dyDescent="0.2">
      <c r="A292" s="82" t="s">
        <v>372</v>
      </c>
      <c r="B292" s="82" t="s">
        <v>373</v>
      </c>
    </row>
    <row r="293" spans="1:2" x14ac:dyDescent="0.2">
      <c r="A293" s="82" t="s">
        <v>602</v>
      </c>
      <c r="B293" s="82" t="s">
        <v>374</v>
      </c>
    </row>
    <row r="294" spans="1:2" x14ac:dyDescent="0.2">
      <c r="A294" s="82" t="s">
        <v>375</v>
      </c>
      <c r="B294" s="82" t="s">
        <v>376</v>
      </c>
    </row>
    <row r="295" spans="1:2" x14ac:dyDescent="0.2">
      <c r="A295" s="82" t="s">
        <v>377</v>
      </c>
      <c r="B295" s="82" t="s">
        <v>378</v>
      </c>
    </row>
    <row r="296" spans="1:2" x14ac:dyDescent="0.2">
      <c r="A296" s="82" t="s">
        <v>379</v>
      </c>
      <c r="B296" s="82" t="s">
        <v>380</v>
      </c>
    </row>
    <row r="297" spans="1:2" x14ac:dyDescent="0.2">
      <c r="A297" s="82" t="s">
        <v>381</v>
      </c>
      <c r="B297" s="82" t="s">
        <v>382</v>
      </c>
    </row>
    <row r="298" spans="1:2" x14ac:dyDescent="0.2">
      <c r="A298" s="82" t="s">
        <v>383</v>
      </c>
      <c r="B298" s="82" t="s">
        <v>384</v>
      </c>
    </row>
    <row r="299" spans="1:2" x14ac:dyDescent="0.2">
      <c r="A299" s="82" t="s">
        <v>385</v>
      </c>
      <c r="B299" s="82" t="s">
        <v>386</v>
      </c>
    </row>
    <row r="300" spans="1:2" x14ac:dyDescent="0.2">
      <c r="A300" s="82" t="s">
        <v>603</v>
      </c>
      <c r="B300" s="82" t="s">
        <v>430</v>
      </c>
    </row>
    <row r="301" spans="1:2" x14ac:dyDescent="0.2">
      <c r="A301" s="82" t="s">
        <v>387</v>
      </c>
      <c r="B301" s="82" t="s">
        <v>388</v>
      </c>
    </row>
    <row r="302" spans="1:2" x14ac:dyDescent="0.2">
      <c r="A302" s="82" t="s">
        <v>604</v>
      </c>
      <c r="B302" s="82" t="s">
        <v>389</v>
      </c>
    </row>
    <row r="303" spans="1:2" x14ac:dyDescent="0.2">
      <c r="A303" s="82" t="s">
        <v>390</v>
      </c>
      <c r="B303" s="82" t="s">
        <v>391</v>
      </c>
    </row>
    <row r="304" spans="1:2" x14ac:dyDescent="0.2">
      <c r="A304" s="82" t="s">
        <v>392</v>
      </c>
      <c r="B304" s="82" t="s">
        <v>393</v>
      </c>
    </row>
    <row r="305" spans="1:2" x14ac:dyDescent="0.2">
      <c r="A305" s="82" t="s">
        <v>394</v>
      </c>
      <c r="B305" s="82" t="s">
        <v>395</v>
      </c>
    </row>
    <row r="306" spans="1:2" x14ac:dyDescent="0.2">
      <c r="A306" s="82" t="s">
        <v>396</v>
      </c>
      <c r="B306" s="82" t="s">
        <v>397</v>
      </c>
    </row>
    <row r="307" spans="1:2" x14ac:dyDescent="0.2">
      <c r="A307" s="82" t="s">
        <v>605</v>
      </c>
      <c r="B307" s="82" t="s">
        <v>431</v>
      </c>
    </row>
    <row r="308" spans="1:2" x14ac:dyDescent="0.2">
      <c r="A308" s="82" t="s">
        <v>398</v>
      </c>
      <c r="B308" s="82" t="s">
        <v>399</v>
      </c>
    </row>
    <row r="309" spans="1:2" x14ac:dyDescent="0.2">
      <c r="A309" s="82" t="s">
        <v>400</v>
      </c>
      <c r="B309" s="82" t="s">
        <v>401</v>
      </c>
    </row>
    <row r="310" spans="1:2" x14ac:dyDescent="0.2">
      <c r="A310" s="82" t="s">
        <v>606</v>
      </c>
      <c r="B310" s="82" t="s">
        <v>409</v>
      </c>
    </row>
    <row r="311" spans="1:2" x14ac:dyDescent="0.2">
      <c r="A311" s="82" t="s">
        <v>607</v>
      </c>
      <c r="B311" s="82" t="s">
        <v>402</v>
      </c>
    </row>
    <row r="312" spans="1:2" x14ac:dyDescent="0.2">
      <c r="A312" s="82" t="s">
        <v>403</v>
      </c>
      <c r="B312" s="82" t="s">
        <v>404</v>
      </c>
    </row>
    <row r="313" spans="1:2" x14ac:dyDescent="0.2">
      <c r="A313" s="82" t="s">
        <v>405</v>
      </c>
      <c r="B313" s="82" t="s">
        <v>406</v>
      </c>
    </row>
    <row r="314" spans="1:2" x14ac:dyDescent="0.2">
      <c r="A314" s="82" t="s">
        <v>407</v>
      </c>
      <c r="B314" s="82" t="s">
        <v>408</v>
      </c>
    </row>
    <row r="315" spans="1:2" x14ac:dyDescent="0.2">
      <c r="A315" s="82" t="s">
        <v>410</v>
      </c>
      <c r="B315" s="82" t="s">
        <v>411</v>
      </c>
    </row>
    <row r="316" spans="1:2" x14ac:dyDescent="0.2">
      <c r="A316" s="82" t="s">
        <v>412</v>
      </c>
      <c r="B316" s="82" t="s">
        <v>413</v>
      </c>
    </row>
    <row r="317" spans="1:2" x14ac:dyDescent="0.2">
      <c r="A317" s="82" t="s">
        <v>414</v>
      </c>
      <c r="B317" s="82" t="s">
        <v>415</v>
      </c>
    </row>
    <row r="318" spans="1:2" x14ac:dyDescent="0.2">
      <c r="A318" s="82" t="s">
        <v>416</v>
      </c>
      <c r="B318" s="82" t="s">
        <v>417</v>
      </c>
    </row>
    <row r="319" spans="1:2" x14ac:dyDescent="0.2">
      <c r="A319" s="82" t="s">
        <v>418</v>
      </c>
      <c r="B319" s="82" t="s">
        <v>419</v>
      </c>
    </row>
    <row r="320" spans="1:2" x14ac:dyDescent="0.2">
      <c r="A320" s="82" t="s">
        <v>420</v>
      </c>
      <c r="B320" s="82" t="s">
        <v>421</v>
      </c>
    </row>
    <row r="321" spans="1:2" x14ac:dyDescent="0.2">
      <c r="A321" s="82" t="s">
        <v>422</v>
      </c>
      <c r="B321" s="82" t="s">
        <v>423</v>
      </c>
    </row>
    <row r="322" spans="1:2" x14ac:dyDescent="0.2">
      <c r="A322" s="82" t="s">
        <v>609</v>
      </c>
      <c r="B322" s="82" t="s">
        <v>608</v>
      </c>
    </row>
    <row r="323" spans="1:2" x14ac:dyDescent="0.2">
      <c r="A323" s="82" t="s">
        <v>424</v>
      </c>
      <c r="B323" s="82" t="s">
        <v>425</v>
      </c>
    </row>
    <row r="324" spans="1:2" x14ac:dyDescent="0.2">
      <c r="A324" s="82" t="s">
        <v>426</v>
      </c>
      <c r="B324" s="82" t="s">
        <v>427</v>
      </c>
    </row>
    <row r="325" spans="1:2" x14ac:dyDescent="0.2">
      <c r="A325" s="82" t="s">
        <v>428</v>
      </c>
      <c r="B325" s="82" t="s">
        <v>429</v>
      </c>
    </row>
    <row r="326" spans="1:2" x14ac:dyDescent="0.2">
      <c r="A326" s="82" t="s">
        <v>610</v>
      </c>
      <c r="B326" s="82" t="s">
        <v>348</v>
      </c>
    </row>
    <row r="327" spans="1:2" x14ac:dyDescent="0.2">
      <c r="A327" s="82" t="s">
        <v>611</v>
      </c>
      <c r="B327" s="82" t="s">
        <v>432</v>
      </c>
    </row>
    <row r="328" spans="1:2" x14ac:dyDescent="0.2">
      <c r="A328" s="82" t="s">
        <v>433</v>
      </c>
      <c r="B328" s="82" t="s">
        <v>434</v>
      </c>
    </row>
    <row r="329" spans="1:2" x14ac:dyDescent="0.2">
      <c r="A329" s="82" t="s">
        <v>435</v>
      </c>
      <c r="B329" s="82" t="s">
        <v>436</v>
      </c>
    </row>
    <row r="330" spans="1:2" x14ac:dyDescent="0.2">
      <c r="A330" s="82" t="s">
        <v>437</v>
      </c>
      <c r="B330" s="82" t="s">
        <v>23</v>
      </c>
    </row>
    <row r="331" spans="1:2" x14ac:dyDescent="0.2">
      <c r="A331" s="82" t="s">
        <v>438</v>
      </c>
      <c r="B331" s="82" t="s">
        <v>439</v>
      </c>
    </row>
    <row r="332" spans="1:2" x14ac:dyDescent="0.2">
      <c r="A332" s="82" t="s">
        <v>612</v>
      </c>
      <c r="B332" s="82" t="s">
        <v>269</v>
      </c>
    </row>
    <row r="333" spans="1:2" x14ac:dyDescent="0.2">
      <c r="A333" s="82" t="s">
        <v>440</v>
      </c>
      <c r="B333" s="82" t="s">
        <v>18</v>
      </c>
    </row>
    <row r="334" spans="1:2" x14ac:dyDescent="0.2">
      <c r="A334" s="82" t="s">
        <v>441</v>
      </c>
      <c r="B334" s="82" t="s">
        <v>442</v>
      </c>
    </row>
    <row r="335" spans="1:2" x14ac:dyDescent="0.2">
      <c r="A335" s="82" t="s">
        <v>613</v>
      </c>
      <c r="B335" s="82" t="s">
        <v>443</v>
      </c>
    </row>
    <row r="336" spans="1:2" x14ac:dyDescent="0.2">
      <c r="A336" s="82" t="s">
        <v>444</v>
      </c>
      <c r="B336" s="82" t="s">
        <v>445</v>
      </c>
    </row>
    <row r="337" spans="1:2" x14ac:dyDescent="0.2">
      <c r="A337" s="82" t="s">
        <v>446</v>
      </c>
      <c r="B337" s="82" t="s">
        <v>447</v>
      </c>
    </row>
    <row r="338" spans="1:2" x14ac:dyDescent="0.2">
      <c r="A338" s="82" t="s">
        <v>448</v>
      </c>
      <c r="B338" s="82" t="s">
        <v>449</v>
      </c>
    </row>
    <row r="339" spans="1:2" x14ac:dyDescent="0.2">
      <c r="A339" s="82" t="s">
        <v>614</v>
      </c>
      <c r="B339" s="82" t="s">
        <v>450</v>
      </c>
    </row>
    <row r="340" spans="1:2" x14ac:dyDescent="0.2">
      <c r="A340" s="82" t="s">
        <v>451</v>
      </c>
      <c r="B340" s="82" t="s">
        <v>452</v>
      </c>
    </row>
    <row r="341" spans="1:2" x14ac:dyDescent="0.2">
      <c r="A341" s="82" t="s">
        <v>453</v>
      </c>
      <c r="B341" s="82" t="s">
        <v>454</v>
      </c>
    </row>
    <row r="342" spans="1:2" x14ac:dyDescent="0.2">
      <c r="A342" s="82" t="s">
        <v>455</v>
      </c>
      <c r="B342" s="82" t="s">
        <v>456</v>
      </c>
    </row>
    <row r="343" spans="1:2" x14ac:dyDescent="0.2">
      <c r="A343" s="82" t="s">
        <v>615</v>
      </c>
      <c r="B343" s="82" t="s">
        <v>333</v>
      </c>
    </row>
    <row r="344" spans="1:2" x14ac:dyDescent="0.2">
      <c r="A344" s="82" t="s">
        <v>616</v>
      </c>
      <c r="B344" s="82" t="s">
        <v>457</v>
      </c>
    </row>
    <row r="345" spans="1:2" x14ac:dyDescent="0.2">
      <c r="A345" s="82" t="s">
        <v>458</v>
      </c>
      <c r="B345" s="82" t="s">
        <v>459</v>
      </c>
    </row>
    <row r="346" spans="1:2" x14ac:dyDescent="0.2">
      <c r="A346" s="82" t="s">
        <v>460</v>
      </c>
      <c r="B346" s="82" t="s">
        <v>461</v>
      </c>
    </row>
    <row r="347" spans="1:2" x14ac:dyDescent="0.2">
      <c r="A347" s="82" t="s">
        <v>617</v>
      </c>
      <c r="B347" s="82" t="s">
        <v>462</v>
      </c>
    </row>
    <row r="348" spans="1:2" x14ac:dyDescent="0.2">
      <c r="A348" s="82" t="s">
        <v>618</v>
      </c>
      <c r="B348" s="82" t="s">
        <v>497</v>
      </c>
    </row>
    <row r="349" spans="1:2" x14ac:dyDescent="0.2">
      <c r="A349" s="82" t="s">
        <v>464</v>
      </c>
      <c r="B349" s="82" t="s">
        <v>465</v>
      </c>
    </row>
    <row r="350" spans="1:2" x14ac:dyDescent="0.2">
      <c r="A350" s="82" t="s">
        <v>466</v>
      </c>
      <c r="B350" s="82" t="s">
        <v>177</v>
      </c>
    </row>
    <row r="351" spans="1:2" x14ac:dyDescent="0.2">
      <c r="A351" s="82" t="s">
        <v>466</v>
      </c>
      <c r="B351" s="82" t="s">
        <v>467</v>
      </c>
    </row>
    <row r="352" spans="1:2" x14ac:dyDescent="0.2">
      <c r="A352" s="82" t="s">
        <v>468</v>
      </c>
      <c r="B352" s="82" t="s">
        <v>469</v>
      </c>
    </row>
    <row r="353" spans="1:2" x14ac:dyDescent="0.2">
      <c r="A353" s="82" t="s">
        <v>619</v>
      </c>
      <c r="B353" s="82" t="s">
        <v>470</v>
      </c>
    </row>
    <row r="354" spans="1:2" x14ac:dyDescent="0.2">
      <c r="A354" s="82" t="s">
        <v>620</v>
      </c>
      <c r="B354" s="82" t="s">
        <v>471</v>
      </c>
    </row>
    <row r="355" spans="1:2" x14ac:dyDescent="0.2">
      <c r="A355" s="82" t="s">
        <v>472</v>
      </c>
      <c r="B355" s="82" t="s">
        <v>473</v>
      </c>
    </row>
    <row r="356" spans="1:2" x14ac:dyDescent="0.2">
      <c r="A356" s="82" t="s">
        <v>474</v>
      </c>
      <c r="B356" s="82" t="s">
        <v>475</v>
      </c>
    </row>
    <row r="357" spans="1:2" x14ac:dyDescent="0.2">
      <c r="A357" s="82" t="s">
        <v>476</v>
      </c>
      <c r="B357" s="82" t="s">
        <v>477</v>
      </c>
    </row>
    <row r="358" spans="1:2" x14ac:dyDescent="0.2">
      <c r="A358" s="82" t="s">
        <v>478</v>
      </c>
      <c r="B358" s="82" t="s">
        <v>479</v>
      </c>
    </row>
    <row r="359" spans="1:2" x14ac:dyDescent="0.2">
      <c r="A359" s="82" t="s">
        <v>480</v>
      </c>
      <c r="B359" s="82" t="s">
        <v>481</v>
      </c>
    </row>
    <row r="360" spans="1:2" x14ac:dyDescent="0.2">
      <c r="A360" s="82" t="s">
        <v>483</v>
      </c>
      <c r="B360" s="82" t="s">
        <v>484</v>
      </c>
    </row>
    <row r="361" spans="1:2" x14ac:dyDescent="0.2">
      <c r="A361" s="82" t="s">
        <v>485</v>
      </c>
      <c r="B361" s="82" t="s">
        <v>486</v>
      </c>
    </row>
    <row r="362" spans="1:2" x14ac:dyDescent="0.2">
      <c r="A362" s="82" t="s">
        <v>487</v>
      </c>
      <c r="B362" s="82" t="s">
        <v>488</v>
      </c>
    </row>
    <row r="363" spans="1:2" x14ac:dyDescent="0.2">
      <c r="A363" s="82" t="s">
        <v>621</v>
      </c>
      <c r="B363" s="82" t="s">
        <v>463</v>
      </c>
    </row>
    <row r="364" spans="1:2" x14ac:dyDescent="0.2">
      <c r="A364" s="82" t="s">
        <v>489</v>
      </c>
      <c r="B364" s="82" t="s">
        <v>490</v>
      </c>
    </row>
    <row r="365" spans="1:2" x14ac:dyDescent="0.2">
      <c r="A365" s="82" t="s">
        <v>505</v>
      </c>
      <c r="B365" s="82" t="s">
        <v>506</v>
      </c>
    </row>
    <row r="366" spans="1:2" x14ac:dyDescent="0.2">
      <c r="A366" s="82" t="s">
        <v>491</v>
      </c>
      <c r="B366" s="82" t="s">
        <v>492</v>
      </c>
    </row>
    <row r="367" spans="1:2" x14ac:dyDescent="0.2">
      <c r="A367" s="82" t="s">
        <v>494</v>
      </c>
      <c r="B367" s="82" t="s">
        <v>495</v>
      </c>
    </row>
    <row r="368" spans="1:2" x14ac:dyDescent="0.2">
      <c r="A368" s="82" t="s">
        <v>623</v>
      </c>
      <c r="B368" s="82" t="s">
        <v>622</v>
      </c>
    </row>
    <row r="369" spans="1:2" x14ac:dyDescent="0.2">
      <c r="A369" s="82" t="s">
        <v>624</v>
      </c>
      <c r="B369" s="82" t="s">
        <v>496</v>
      </c>
    </row>
    <row r="370" spans="1:2" x14ac:dyDescent="0.2">
      <c r="A370" s="82" t="s">
        <v>498</v>
      </c>
      <c r="B370" s="82" t="s">
        <v>499</v>
      </c>
    </row>
    <row r="371" spans="1:2" x14ac:dyDescent="0.2">
      <c r="A371" s="82" t="s">
        <v>625</v>
      </c>
      <c r="B371" s="82" t="s">
        <v>500</v>
      </c>
    </row>
    <row r="372" spans="1:2" x14ac:dyDescent="0.2">
      <c r="A372" s="82" t="s">
        <v>626</v>
      </c>
      <c r="B372" s="82" t="s">
        <v>349</v>
      </c>
    </row>
    <row r="373" spans="1:2" x14ac:dyDescent="0.2">
      <c r="A373" s="82" t="s">
        <v>501</v>
      </c>
      <c r="B373" s="82" t="s">
        <v>502</v>
      </c>
    </row>
    <row r="374" spans="1:2" x14ac:dyDescent="0.2">
      <c r="A374" s="82" t="s">
        <v>503</v>
      </c>
      <c r="B374" s="82" t="s">
        <v>504</v>
      </c>
    </row>
    <row r="375" spans="1:2" x14ac:dyDescent="0.2">
      <c r="A375" s="82" t="s">
        <v>627</v>
      </c>
      <c r="B375" s="82" t="s">
        <v>507</v>
      </c>
    </row>
    <row r="376" spans="1:2" x14ac:dyDescent="0.2">
      <c r="A376" s="82" t="s">
        <v>628</v>
      </c>
      <c r="B376" s="82" t="s">
        <v>493</v>
      </c>
    </row>
    <row r="377" spans="1:2" x14ac:dyDescent="0.2">
      <c r="A377" s="82" t="s">
        <v>629</v>
      </c>
      <c r="B377" s="82" t="s">
        <v>254</v>
      </c>
    </row>
    <row r="378" spans="1:2" x14ac:dyDescent="0.2">
      <c r="A378" s="82" t="s">
        <v>508</v>
      </c>
      <c r="B378" s="82" t="s">
        <v>509</v>
      </c>
    </row>
    <row r="379" spans="1:2" x14ac:dyDescent="0.2">
      <c r="A379" s="82" t="s">
        <v>510</v>
      </c>
      <c r="B379" s="82" t="s">
        <v>511</v>
      </c>
    </row>
    <row r="380" spans="1:2" x14ac:dyDescent="0.2">
      <c r="A380" s="82" t="s">
        <v>512</v>
      </c>
      <c r="B380" s="82" t="s">
        <v>513</v>
      </c>
    </row>
    <row r="381" spans="1:2" x14ac:dyDescent="0.2">
      <c r="A381" s="82" t="s">
        <v>514</v>
      </c>
      <c r="B381" s="82" t="s">
        <v>515</v>
      </c>
    </row>
    <row r="382" spans="1:2" x14ac:dyDescent="0.2">
      <c r="A382" s="82" t="s">
        <v>516</v>
      </c>
      <c r="B382" s="82" t="s">
        <v>517</v>
      </c>
    </row>
    <row r="383" spans="1:2" x14ac:dyDescent="0.2">
      <c r="A383" s="82" t="s">
        <v>631</v>
      </c>
      <c r="B383" s="82" t="s">
        <v>630</v>
      </c>
    </row>
    <row r="384" spans="1:2" x14ac:dyDescent="0.2">
      <c r="A384" s="82" t="s">
        <v>518</v>
      </c>
      <c r="B384" s="82" t="s">
        <v>519</v>
      </c>
    </row>
    <row r="385" spans="1:2" x14ac:dyDescent="0.2">
      <c r="A385" s="82" t="s">
        <v>520</v>
      </c>
      <c r="B385" s="82" t="s">
        <v>521</v>
      </c>
    </row>
    <row r="386" spans="1:2" x14ac:dyDescent="0.2">
      <c r="A386" s="82" t="s">
        <v>522</v>
      </c>
      <c r="B386" s="82" t="s">
        <v>523</v>
      </c>
    </row>
    <row r="387" spans="1:2" x14ac:dyDescent="0.2">
      <c r="A387" s="82" t="s">
        <v>632</v>
      </c>
      <c r="B387" s="82" t="s">
        <v>524</v>
      </c>
    </row>
    <row r="388" spans="1:2" x14ac:dyDescent="0.2">
      <c r="A388" s="82" t="s">
        <v>525</v>
      </c>
      <c r="B388" s="82" t="s">
        <v>526</v>
      </c>
    </row>
    <row r="389" spans="1:2" x14ac:dyDescent="0.2">
      <c r="A389" s="82" t="s">
        <v>527</v>
      </c>
      <c r="B389" s="82" t="s">
        <v>528</v>
      </c>
    </row>
    <row r="390" spans="1:2" x14ac:dyDescent="0.2">
      <c r="A390" s="82" t="s">
        <v>529</v>
      </c>
      <c r="B390" s="82" t="s">
        <v>530</v>
      </c>
    </row>
    <row r="391" spans="1:2" x14ac:dyDescent="0.2">
      <c r="A391" s="82" t="s">
        <v>531</v>
      </c>
      <c r="B391" s="82" t="s">
        <v>532</v>
      </c>
    </row>
    <row r="392" spans="1:2" x14ac:dyDescent="0.2">
      <c r="A392" s="82" t="s">
        <v>533</v>
      </c>
      <c r="B392" s="82" t="s">
        <v>534</v>
      </c>
    </row>
    <row r="393" spans="1:2" x14ac:dyDescent="0.2">
      <c r="A393" s="82" t="s">
        <v>633</v>
      </c>
      <c r="B393" s="82" t="s">
        <v>535</v>
      </c>
    </row>
    <row r="394" spans="1:2" x14ac:dyDescent="0.2">
      <c r="A394" s="82" t="s">
        <v>536</v>
      </c>
      <c r="B394" s="82" t="s">
        <v>537</v>
      </c>
    </row>
    <row r="395" spans="1:2" x14ac:dyDescent="0.2">
      <c r="A395" s="82" t="s">
        <v>538</v>
      </c>
      <c r="B395" s="82" t="s">
        <v>539</v>
      </c>
    </row>
    <row r="396" spans="1:2" x14ac:dyDescent="0.2">
      <c r="A396" s="82" t="s">
        <v>540</v>
      </c>
      <c r="B396" s="82" t="s">
        <v>541</v>
      </c>
    </row>
    <row r="397" spans="1:2" x14ac:dyDescent="0.2">
      <c r="A397" s="82" t="s">
        <v>542</v>
      </c>
      <c r="B397" s="82" t="s">
        <v>543</v>
      </c>
    </row>
    <row r="398" spans="1:2" x14ac:dyDescent="0.2">
      <c r="A398" s="82" t="s">
        <v>544</v>
      </c>
      <c r="B398" s="82" t="s">
        <v>545</v>
      </c>
    </row>
    <row r="399" spans="1:2" x14ac:dyDescent="0.2">
      <c r="A399" s="82" t="s">
        <v>546</v>
      </c>
      <c r="B399" s="82" t="s">
        <v>547</v>
      </c>
    </row>
    <row r="400" spans="1:2" x14ac:dyDescent="0.2">
      <c r="A400" s="82" t="s">
        <v>548</v>
      </c>
      <c r="B400" s="82" t="s">
        <v>549</v>
      </c>
    </row>
    <row r="401" spans="1:2" x14ac:dyDescent="0.2">
      <c r="A401" s="82" t="s">
        <v>634</v>
      </c>
      <c r="B401" s="82" t="s">
        <v>550</v>
      </c>
    </row>
    <row r="402" spans="1:2" x14ac:dyDescent="0.2">
      <c r="A402" s="82" t="s">
        <v>551</v>
      </c>
      <c r="B402" s="82" t="s">
        <v>552</v>
      </c>
    </row>
    <row r="403" spans="1:2" x14ac:dyDescent="0.2">
      <c r="A403" s="82" t="s">
        <v>553</v>
      </c>
      <c r="B403" s="82" t="s">
        <v>554</v>
      </c>
    </row>
    <row r="404" spans="1:2" x14ac:dyDescent="0.2">
      <c r="A404" s="82" t="s">
        <v>635</v>
      </c>
      <c r="B404" s="82" t="s">
        <v>555</v>
      </c>
    </row>
    <row r="405" spans="1:2" x14ac:dyDescent="0.2">
      <c r="A405" s="82" t="s">
        <v>556</v>
      </c>
      <c r="B405" s="82" t="s">
        <v>557</v>
      </c>
    </row>
    <row r="406" spans="1:2" x14ac:dyDescent="0.2">
      <c r="A406" s="82" t="s">
        <v>636</v>
      </c>
      <c r="B406" s="82" t="s">
        <v>221</v>
      </c>
    </row>
    <row r="407" spans="1:2" x14ac:dyDescent="0.2">
      <c r="A407" s="82" t="s">
        <v>637</v>
      </c>
      <c r="B407" s="82" t="s">
        <v>176</v>
      </c>
    </row>
    <row r="408" spans="1:2" x14ac:dyDescent="0.2">
      <c r="A408" s="82" t="s">
        <v>638</v>
      </c>
      <c r="B408" s="82" t="s">
        <v>558</v>
      </c>
    </row>
    <row r="409" spans="1:2" x14ac:dyDescent="0.2">
      <c r="A409" s="82" t="s">
        <v>639</v>
      </c>
      <c r="B409" s="82" t="s">
        <v>206</v>
      </c>
    </row>
    <row r="410" spans="1:2" x14ac:dyDescent="0.2">
      <c r="A410" s="82" t="s">
        <v>560</v>
      </c>
      <c r="B410" s="82" t="s">
        <v>561</v>
      </c>
    </row>
    <row r="411" spans="1:2" x14ac:dyDescent="0.2">
      <c r="A411" s="82" t="s">
        <v>562</v>
      </c>
      <c r="B411" s="82" t="s">
        <v>563</v>
      </c>
    </row>
    <row r="412" spans="1:2" x14ac:dyDescent="0.2">
      <c r="A412" s="82" t="s">
        <v>640</v>
      </c>
      <c r="B412" s="82" t="s">
        <v>482</v>
      </c>
    </row>
    <row r="413" spans="1:2" x14ac:dyDescent="0.2">
      <c r="A413" s="82" t="s">
        <v>564</v>
      </c>
      <c r="B413" s="82" t="s">
        <v>565</v>
      </c>
    </row>
  </sheetData>
  <sheetProtection algorithmName="SHA-512" hashValue="3jOUdrGFLRGzVCc18M0a4PNAvcViWC9RLi04DgKeo5PED9MI7ksYvZQNIDoUTib2OcrY1p7IIQD1Jk+rksa95g==" saltValue="tGdODnjL3WpqyZ8Xsy4XbA==" spinCount="100000" sheet="1" objects="1" scenarios="1" selectLockedCells="1" selectUnlockedCells="1"/>
  <mergeCells count="47">
    <mergeCell ref="B110:E110"/>
    <mergeCell ref="G110:J110"/>
    <mergeCell ref="B114:E114"/>
    <mergeCell ref="G114:J114"/>
    <mergeCell ref="B67:E67"/>
    <mergeCell ref="G67:J67"/>
    <mergeCell ref="B101:E101"/>
    <mergeCell ref="G101:J101"/>
    <mergeCell ref="B83:E83"/>
    <mergeCell ref="G83:J83"/>
    <mergeCell ref="B87:E87"/>
    <mergeCell ref="G87:J87"/>
    <mergeCell ref="B98:E98"/>
    <mergeCell ref="G98:J98"/>
    <mergeCell ref="B70:E70"/>
    <mergeCell ref="G70:J70"/>
    <mergeCell ref="B72:E72"/>
    <mergeCell ref="G72:J72"/>
    <mergeCell ref="B75:E75"/>
    <mergeCell ref="G75:J75"/>
    <mergeCell ref="L54:O54"/>
    <mergeCell ref="B58:E58"/>
    <mergeCell ref="G58:J58"/>
    <mergeCell ref="B66:E66"/>
    <mergeCell ref="G66:J66"/>
    <mergeCell ref="B45:E45"/>
    <mergeCell ref="B53:E53"/>
    <mergeCell ref="G53:J53"/>
    <mergeCell ref="B54:E54"/>
    <mergeCell ref="G54:J54"/>
    <mergeCell ref="B30:E30"/>
    <mergeCell ref="B33:E33"/>
    <mergeCell ref="B41:E41"/>
    <mergeCell ref="G41:J41"/>
    <mergeCell ref="L41:O41"/>
    <mergeCell ref="B15:E15"/>
    <mergeCell ref="G15:J15"/>
    <mergeCell ref="L15:O15"/>
    <mergeCell ref="B19:E19"/>
    <mergeCell ref="G19:J19"/>
    <mergeCell ref="L19:O19"/>
    <mergeCell ref="B3:E3"/>
    <mergeCell ref="G3:J3"/>
    <mergeCell ref="L3:O3"/>
    <mergeCell ref="B7:E7"/>
    <mergeCell ref="G7:J7"/>
    <mergeCell ref="L7:O7"/>
  </mergeCells>
  <phoneticPr fontId="24" type="noConversion"/>
  <pageMargins left="0.78749999999999998" right="0.78749999999999998" top="1.0249999999999999" bottom="1.0249999999999999" header="0.78749999999999998" footer="0.78749999999999998"/>
  <pageSetup paperSize="9" orientation="portrait" horizontalDpi="300" verticalDpi="300" r:id="rId1"/>
  <headerFooter>
    <oddHeader>&amp;C&amp;A</oddHeader>
    <oddFooter>&amp;CSeite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D0585AF1FFB143A0AE32863B48BA9A" ma:contentTypeVersion="11" ma:contentTypeDescription="Ein neues Dokument erstellen." ma:contentTypeScope="" ma:versionID="db4ad79fc0ad265b0eb66f014e176152">
  <xsd:schema xmlns:xsd="http://www.w3.org/2001/XMLSchema" xmlns:xs="http://www.w3.org/2001/XMLSchema" xmlns:p="http://schemas.microsoft.com/office/2006/metadata/properties" xmlns:ns3="3665896e-e44e-4456-a8d6-d481b2c4deb6" xmlns:ns4="0f44d5df-8ed9-4f93-aff1-cca4b6d3e4f6" targetNamespace="http://schemas.microsoft.com/office/2006/metadata/properties" ma:root="true" ma:fieldsID="3139cb05f39579877c0f03cbfbdc37de" ns3:_="" ns4:_="">
    <xsd:import namespace="3665896e-e44e-4456-a8d6-d481b2c4deb6"/>
    <xsd:import namespace="0f44d5df-8ed9-4f93-aff1-cca4b6d3e4f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5896e-e44e-4456-a8d6-d481b2c4deb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Freigabehinweis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44d5df-8ed9-4f93-aff1-cca4b6d3e4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W o 1 X U q t E D m C k A A A A 9 Q A A A B I A H A B D b 2 5 m a W c v U G F j a 2 F n Z S 5 4 b W w g o h g A K K A U A A A A A A A A A A A A A A A A A A A A A A A A A A A A h Y 9 B D o I w F E S v Q v 6 e t q I L Q j 4 l x q 0 k J h r j t i k V G q E Y W i x 3 c + G R v I I Y R d 2 5 n H k z y c z 9 e s N s a O r g o j q r W 5 P C j D A I l J F t o U 2 Z Q u + O Y Q w Z x 4 2 Q J 1 G q Y A w b m w x W p 1 A 5 d 0 4 o 9 d 4 T P y d t V 9 K I s R k 9 5 O u t r F Q j Q m 2 s E 0 Y q + L S K / y 3 g u H + N 4 R G J F y R m 4 y S k k 4 e 5 N l 8 e j e x J f 0 x c 9 b X r O 8 U L F S 5 3 S C e J 9 H 2 B P w B Q S w M E F A A C A A g A W o 1 X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q N V 1 I o i k e 4 D g A A A B E A A A A T A B w A R m 9 y b X V s Y X M v U 2 V j d G l v b j E u b S C i G A A o o B Q A A A A A A A A A A A A A A A A A A A A A A A A A A A A r T k 0 u y c z P U w i G 0 I b W A F B L A Q I t A B Q A A g A I A F q N V 1 K r R A 5 g p A A A A P U A A A A S A A A A A A A A A A A A A A A A A A A A A A B D b 2 5 m a W c v U G F j a 2 F n Z S 5 4 b W x Q S w E C L Q A U A A I A C A B a j V d S D 8 r p q 6 Q A A A D p A A A A E w A A A A A A A A A A A A A A A A D w A A A A W 0 N v b n R l b n R f V H l w Z X N d L n h t b F B L A Q I t A B Q A A g A I A F q N V 1 I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v O S l v P l K i R K L b r F Y t p 7 3 o A A A A A A I A A A A A A B B m A A A A A Q A A I A A A A F I 3 1 y o b N p x o 8 n E R 4 r U O 9 O v O j W X Z A 4 s W 3 J I / o E E I k k J l A A A A A A 6 A A A A A A g A A I A A A A E L R X t L / l b A 8 O K d g L i R g 2 T o M A Z i 8 u B A K x r F I H 8 Y y e s a t U A A A A H 8 z 4 Z h o I + d k I A 4 2 7 r N t / J p H w E Q v T m I C R F l b + k h j p j X q U P 0 F B c T r b + F l 4 Q s k h P t r p R V 2 E V p 9 A W u K w d Z v d 3 J d 8 9 7 m L t J R C o e 1 P n 8 x T M s m 7 3 u I Q A A A A I k K H q T 0 o d Y i X S c Q 3 s y X F 3 g E i 4 K y n m E / C B p P h b X B 6 k 1 Q I k J e M Q G o o v f i t s l g v W L z a G b e C 0 I o H L c 0 i J r k y C g z 8 K A = < / D a t a M a s h u p > 
</file>

<file path=customXml/itemProps1.xml><?xml version="1.0" encoding="utf-8"?>
<ds:datastoreItem xmlns:ds="http://schemas.openxmlformats.org/officeDocument/2006/customXml" ds:itemID="{1C960C4C-8680-4A64-9F93-C77EDC9E6D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6C6638-B62C-45F7-B6DB-0F5F67EAF3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65896e-e44e-4456-a8d6-d481b2c4deb6"/>
    <ds:schemaRef ds:uri="0f44d5df-8ed9-4f93-aff1-cca4b6d3e4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B95148-E066-4C15-A89A-ACA533AF60B5}">
  <ds:schemaRefs>
    <ds:schemaRef ds:uri="http://schemas.microsoft.com/office/2006/documentManagement/types"/>
    <ds:schemaRef ds:uri="http://schemas.microsoft.com/office/infopath/2007/PartnerControls"/>
    <ds:schemaRef ds:uri="3665896e-e44e-4456-a8d6-d481b2c4deb6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0f44d5df-8ed9-4f93-aff1-cca4b6d3e4f6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DF5E4FB-DCA1-431C-8D36-2F885EEDD07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Configuration</vt:lpstr>
      <vt:lpstr>BWH</vt:lpstr>
      <vt:lpstr>HGW</vt:lpstr>
      <vt:lpstr>CP112_01</vt:lpstr>
      <vt:lpstr>Ping und MachineManager</vt:lpstr>
      <vt:lpstr>MM Multimaster</vt:lpstr>
      <vt:lpstr>||</vt:lpstr>
      <vt:lpstr>default</vt:lpstr>
      <vt:lpstr>calc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Roither Ronald</dc:creator>
  <cp:keywords>v1.1 - 25.02.2021</cp:keywords>
  <dc:description/>
  <cp:lastModifiedBy>Ronald Roither</cp:lastModifiedBy>
  <cp:revision>137</cp:revision>
  <cp:lastPrinted>2020-08-03T11:16:34Z</cp:lastPrinted>
  <dcterms:created xsi:type="dcterms:W3CDTF">2019-06-10T00:17:53Z</dcterms:created>
  <dcterms:modified xsi:type="dcterms:W3CDTF">2021-02-25T12:14:44Z</dcterms:modified>
  <dc:language>de-AT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0x010100D0D0585AF1FFB143A0AE32863B48BA9A</vt:lpwstr>
  </property>
</Properties>
</file>